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ntatofortesec.sharepoint.com/sites/Gestao/Documentos/CRI/CRI_S197_204_GramadoParks/2_Estruturacao/7_Liquidacao/3_Mapa de Liquidação/"/>
    </mc:Choice>
  </mc:AlternateContent>
  <xr:revisionPtr revIDLastSave="37" documentId="13_ncr:1_{CD8F537C-F424-4C1A-A020-9C18D0D33E0A}" xr6:coauthVersionLast="47" xr6:coauthVersionMax="47" xr10:uidLastSave="{F00E2A2E-28A6-491A-9547-AA4AD2BFCB4A}"/>
  <bookViews>
    <workbookView xWindow="-28920" yWindow="-4710" windowWidth="29040" windowHeight="15840" firstSheet="1" activeTab="1" xr2:uid="{00000000-000D-0000-FFFF-FFFF00000000}"/>
  </bookViews>
  <sheets>
    <sheet name="Gross Up" sheetId="2" state="hidden" r:id="rId1"/>
    <sheet name="Relatório Liquidação" sheetId="4" r:id="rId2"/>
    <sheet name="Referencias" sheetId="5" state="hidden" r:id="rId3"/>
    <sheet name="Originador" sheetId="6" r:id="rId4"/>
    <sheet name="Resumo" sheetId="3" state="hidden" r:id="rId5"/>
  </sheets>
  <definedNames>
    <definedName name="_xlnm._FilterDatabase" localSheetId="1" hidden="1">'Relatório Liquidação'!$B$2:$U$274</definedName>
    <definedName name="Feriados" localSheetId="1">#REF!</definedName>
    <definedName name="Feriados">#REF!</definedName>
    <definedName name="_xlnm.Print_Area" localSheetId="1">'Relatório Liquidação'!$H$1:$T$278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5" i="4" l="1"/>
  <c r="Q17" i="4"/>
  <c r="Q15" i="4"/>
  <c r="E248" i="4" l="1"/>
  <c r="E255" i="4" s="1"/>
  <c r="T247" i="4"/>
  <c r="T248" i="4" s="1"/>
  <c r="Q252" i="4" l="1"/>
  <c r="O251" i="4"/>
  <c r="O250" i="4"/>
  <c r="O249" i="4"/>
  <c r="Q249" i="4" s="1"/>
  <c r="E252" i="4"/>
  <c r="E256" i="4"/>
  <c r="E254" i="4"/>
  <c r="E249" i="4"/>
  <c r="E250" i="4"/>
  <c r="Q251" i="4"/>
  <c r="E251" i="4"/>
  <c r="E257" i="4"/>
  <c r="D252" i="4"/>
  <c r="E236" i="4"/>
  <c r="E243" i="4" s="1"/>
  <c r="T235" i="4"/>
  <c r="T236" i="4" s="1"/>
  <c r="Q250" i="4" l="1"/>
  <c r="T250" i="4" s="1"/>
  <c r="T251" i="4"/>
  <c r="S251" i="4"/>
  <c r="S249" i="4"/>
  <c r="T249" i="4"/>
  <c r="T252" i="4"/>
  <c r="S252" i="4"/>
  <c r="T254" i="4" s="1"/>
  <c r="O239" i="4"/>
  <c r="Q239" i="4" s="1"/>
  <c r="S239" i="4" s="1"/>
  <c r="O238" i="4"/>
  <c r="O237" i="4"/>
  <c r="Q237" i="4" s="1"/>
  <c r="S237" i="4" s="1"/>
  <c r="Q240" i="4"/>
  <c r="E240" i="4"/>
  <c r="E237" i="4"/>
  <c r="E238" i="4"/>
  <c r="E242" i="4"/>
  <c r="E244" i="4"/>
  <c r="E239" i="4"/>
  <c r="E245" i="4"/>
  <c r="D240" i="4"/>
  <c r="E224" i="4"/>
  <c r="E231" i="4" s="1"/>
  <c r="T223" i="4"/>
  <c r="T224" i="4" s="1"/>
  <c r="S250" i="4" l="1"/>
  <c r="T255" i="4"/>
  <c r="T253" i="4" s="1"/>
  <c r="T257" i="4" s="1"/>
  <c r="T258" i="4" s="1"/>
  <c r="T240" i="4"/>
  <c r="S240" i="4"/>
  <c r="T242" i="4" s="1"/>
  <c r="Q238" i="4"/>
  <c r="S238" i="4" s="1"/>
  <c r="T243" i="4" s="1"/>
  <c r="T237" i="4"/>
  <c r="T239" i="4"/>
  <c r="Q228" i="4"/>
  <c r="O227" i="4"/>
  <c r="O226" i="4"/>
  <c r="O225" i="4"/>
  <c r="Q225" i="4" s="1"/>
  <c r="T225" i="4" s="1"/>
  <c r="E230" i="4"/>
  <c r="E225" i="4"/>
  <c r="E226" i="4"/>
  <c r="E228" i="4"/>
  <c r="E232" i="4"/>
  <c r="Q227" i="4"/>
  <c r="E233" i="4"/>
  <c r="E227" i="4"/>
  <c r="D228" i="4"/>
  <c r="E212" i="4"/>
  <c r="E219" i="4" s="1"/>
  <c r="T211" i="4"/>
  <c r="T212" i="4" s="1"/>
  <c r="T238" i="4" l="1"/>
  <c r="Q226" i="4"/>
  <c r="T226" i="4" s="1"/>
  <c r="T227" i="4"/>
  <c r="S227" i="4"/>
  <c r="S225" i="4"/>
  <c r="T228" i="4"/>
  <c r="S228" i="4"/>
  <c r="E220" i="4"/>
  <c r="E213" i="4"/>
  <c r="E218" i="4"/>
  <c r="E214" i="4"/>
  <c r="E216" i="4"/>
  <c r="O215" i="4"/>
  <c r="Q215" i="4" s="1"/>
  <c r="O214" i="4"/>
  <c r="Q216" i="4"/>
  <c r="O213" i="4"/>
  <c r="Q213" i="4" s="1"/>
  <c r="E215" i="4"/>
  <c r="E221" i="4"/>
  <c r="D216" i="4"/>
  <c r="T199" i="4"/>
  <c r="E198" i="4"/>
  <c r="E199" i="4" s="1"/>
  <c r="E200" i="4"/>
  <c r="E204" i="4" s="1"/>
  <c r="T198" i="4"/>
  <c r="T197" i="4"/>
  <c r="T230" i="4" l="1"/>
  <c r="S226" i="4"/>
  <c r="T231" i="4" s="1"/>
  <c r="Q214" i="4"/>
  <c r="T215" i="4"/>
  <c r="S215" i="4"/>
  <c r="S213" i="4"/>
  <c r="T213" i="4"/>
  <c r="T216" i="4"/>
  <c r="S216" i="4"/>
  <c r="T200" i="4"/>
  <c r="O201" i="4" s="1"/>
  <c r="Q201" i="4" s="1"/>
  <c r="E201" i="4"/>
  <c r="E202" i="4"/>
  <c r="E208" i="4"/>
  <c r="E206" i="4"/>
  <c r="E203" i="4"/>
  <c r="E209" i="4"/>
  <c r="D204" i="4"/>
  <c r="E207" i="4"/>
  <c r="T241" i="4" l="1"/>
  <c r="T245" i="4" s="1"/>
  <c r="T246" i="4" s="1"/>
  <c r="T218" i="4"/>
  <c r="S214" i="4"/>
  <c r="T214" i="4"/>
  <c r="Q204" i="4"/>
  <c r="T204" i="4" s="1"/>
  <c r="O202" i="4"/>
  <c r="O203" i="4"/>
  <c r="Q203" i="4" s="1"/>
  <c r="S203" i="4" s="1"/>
  <c r="T201" i="4"/>
  <c r="S201" i="4"/>
  <c r="T185" i="4"/>
  <c r="T184" i="4"/>
  <c r="E186" i="4"/>
  <c r="T219" i="4" l="1"/>
  <c r="T229" i="4"/>
  <c r="T233" i="4" s="1"/>
  <c r="S204" i="4"/>
  <c r="T206" i="4" s="1"/>
  <c r="Q202" i="4"/>
  <c r="T202" i="4" s="1"/>
  <c r="T203" i="4"/>
  <c r="T186" i="4"/>
  <c r="Q190" i="4" s="1"/>
  <c r="T190" i="4" s="1"/>
  <c r="E195" i="4"/>
  <c r="E190" i="4"/>
  <c r="E187" i="4"/>
  <c r="E193" i="4"/>
  <c r="E192" i="4"/>
  <c r="E194" i="4"/>
  <c r="D190" i="4"/>
  <c r="E189" i="4"/>
  <c r="E188" i="4"/>
  <c r="Q42" i="4"/>
  <c r="S202" i="4" l="1"/>
  <c r="T207" i="4" s="1"/>
  <c r="T234" i="4"/>
  <c r="O188" i="4"/>
  <c r="Q188" i="4" s="1"/>
  <c r="T217" i="4"/>
  <c r="O189" i="4"/>
  <c r="Q189" i="4" s="1"/>
  <c r="T189" i="4" s="1"/>
  <c r="O187" i="4"/>
  <c r="Q187" i="4" s="1"/>
  <c r="T187" i="4" s="1"/>
  <c r="S190" i="4"/>
  <c r="T42" i="4"/>
  <c r="S189" i="4" l="1"/>
  <c r="T221" i="4"/>
  <c r="T222" i="4" s="1"/>
  <c r="S187" i="4"/>
  <c r="T192" i="4"/>
  <c r="E171" i="4"/>
  <c r="T170" i="4"/>
  <c r="T171" i="4" s="1"/>
  <c r="Q175" i="4" s="1"/>
  <c r="E179" i="4" l="1"/>
  <c r="E180" i="4" s="1"/>
  <c r="E181" i="4" s="1"/>
  <c r="E182" i="4" s="1"/>
  <c r="E172" i="4"/>
  <c r="E173" i="4" s="1"/>
  <c r="E174" i="4" s="1"/>
  <c r="E175" i="4" s="1"/>
  <c r="E176" i="4" s="1"/>
  <c r="E177" i="4" s="1"/>
  <c r="T175" i="4"/>
  <c r="S175" i="4"/>
  <c r="O172" i="4"/>
  <c r="Q172" i="4" s="1"/>
  <c r="O174" i="4"/>
  <c r="Q174" i="4" s="1"/>
  <c r="O173" i="4"/>
  <c r="T174" i="4" l="1"/>
  <c r="S174" i="4"/>
  <c r="T172" i="4"/>
  <c r="S172" i="4"/>
  <c r="D41" i="6" l="1"/>
  <c r="C41" i="6"/>
  <c r="T21" i="6" l="1"/>
  <c r="T22" i="6"/>
  <c r="T20" i="6"/>
  <c r="T23" i="6" l="1"/>
  <c r="Q24" i="6" s="1"/>
  <c r="T24" i="6" s="1"/>
  <c r="S24" i="6" l="1"/>
  <c r="T159" i="4"/>
  <c r="T160" i="4" l="1"/>
  <c r="O162" i="4" s="1"/>
  <c r="Q162" i="4" s="1"/>
  <c r="T162" i="4" s="1"/>
  <c r="Q177" i="4"/>
  <c r="T177" i="4" s="1"/>
  <c r="T156" i="4"/>
  <c r="T146" i="4"/>
  <c r="Q152" i="4" s="1"/>
  <c r="T152" i="4" s="1"/>
  <c r="T147" i="4"/>
  <c r="Q176" i="4" s="1"/>
  <c r="O161" i="4" l="1"/>
  <c r="Q161" i="4" s="1"/>
  <c r="T161" i="4" s="1"/>
  <c r="O163" i="4"/>
  <c r="Q163" i="4" s="1"/>
  <c r="T163" i="4" s="1"/>
  <c r="Q173" i="4"/>
  <c r="T173" i="4" s="1"/>
  <c r="S177" i="4"/>
  <c r="T176" i="4"/>
  <c r="S176" i="4"/>
  <c r="S163" i="4"/>
  <c r="S162" i="4"/>
  <c r="T148" i="4"/>
  <c r="S152" i="4"/>
  <c r="T134" i="4"/>
  <c r="T135" i="4" s="1"/>
  <c r="S161" i="4" l="1"/>
  <c r="S173" i="4"/>
  <c r="T180" i="4" s="1"/>
  <c r="T179" i="4"/>
  <c r="O150" i="4"/>
  <c r="Q150" i="4" s="1"/>
  <c r="T150" i="4" s="1"/>
  <c r="O149" i="4"/>
  <c r="Q149" i="4" s="1"/>
  <c r="S149" i="4" s="1"/>
  <c r="O151" i="4"/>
  <c r="Q151" i="4" s="1"/>
  <c r="T151" i="4" s="1"/>
  <c r="O138" i="4"/>
  <c r="Q138" i="4" s="1"/>
  <c r="O136" i="4"/>
  <c r="Q136" i="4" s="1"/>
  <c r="O137" i="4"/>
  <c r="Q139" i="4"/>
  <c r="T165" i="4"/>
  <c r="T164" i="4" s="1"/>
  <c r="T168" i="4" s="1"/>
  <c r="T155" i="4"/>
  <c r="T121" i="4"/>
  <c r="T122" i="4" s="1"/>
  <c r="T178" i="4" l="1"/>
  <c r="T182" i="4" s="1"/>
  <c r="T183" i="4" s="1"/>
  <c r="T188" i="4"/>
  <c r="S188" i="4"/>
  <c r="Q137" i="4"/>
  <c r="T137" i="4" s="1"/>
  <c r="S150" i="4"/>
  <c r="S151" i="4"/>
  <c r="T149" i="4"/>
  <c r="T138" i="4"/>
  <c r="S138" i="4"/>
  <c r="T139" i="4"/>
  <c r="S139" i="4"/>
  <c r="T136" i="4"/>
  <c r="S136" i="4"/>
  <c r="O124" i="4"/>
  <c r="O123" i="4"/>
  <c r="Q123" i="4" s="1"/>
  <c r="Q126" i="4"/>
  <c r="O125" i="4"/>
  <c r="Q125" i="4" s="1"/>
  <c r="X101" i="4"/>
  <c r="X102" i="4"/>
  <c r="T154" i="4" l="1"/>
  <c r="T153" i="4" s="1"/>
  <c r="T157" i="4" s="1"/>
  <c r="T193" i="4"/>
  <c r="T191" i="4" s="1"/>
  <c r="T195" i="4" s="1"/>
  <c r="T205" i="4"/>
  <c r="T209" i="4" s="1"/>
  <c r="T210" i="4" s="1"/>
  <c r="Q124" i="4"/>
  <c r="S124" i="4" s="1"/>
  <c r="T169" i="4"/>
  <c r="S137" i="4"/>
  <c r="T141" i="4" s="1"/>
  <c r="T142" i="4"/>
  <c r="T125" i="4"/>
  <c r="S125" i="4"/>
  <c r="T123" i="4"/>
  <c r="S123" i="4"/>
  <c r="T126" i="4"/>
  <c r="S126" i="4"/>
  <c r="T129" i="4" s="1"/>
  <c r="T108" i="4"/>
  <c r="T109" i="4" s="1"/>
  <c r="T196" i="4" l="1"/>
  <c r="T140" i="4"/>
  <c r="T144" i="4" s="1"/>
  <c r="T145" i="4" s="1"/>
  <c r="T158" i="4"/>
  <c r="T124" i="4"/>
  <c r="T128" i="4"/>
  <c r="T127" i="4" s="1"/>
  <c r="O112" i="4"/>
  <c r="Q112" i="4" s="1"/>
  <c r="S112" i="4" s="1"/>
  <c r="O111" i="4"/>
  <c r="Q113" i="4"/>
  <c r="T113" i="4" s="1"/>
  <c r="O110" i="4"/>
  <c r="Q110" i="4" s="1"/>
  <c r="S110" i="4" s="1"/>
  <c r="T112" i="4" l="1"/>
  <c r="T132" i="4"/>
  <c r="T133" i="4" s="1"/>
  <c r="S113" i="4"/>
  <c r="T116" i="4" s="1"/>
  <c r="T110" i="4"/>
  <c r="Q111" i="4"/>
  <c r="Y68" i="4"/>
  <c r="AB68" i="4" s="1"/>
  <c r="W67" i="4"/>
  <c r="Y67" i="4" s="1"/>
  <c r="W66" i="4"/>
  <c r="W65" i="4"/>
  <c r="Y65" i="4" s="1"/>
  <c r="S111" i="4" l="1"/>
  <c r="T115" i="4" s="1"/>
  <c r="T111" i="4"/>
  <c r="Y66" i="4"/>
  <c r="AA66" i="4" s="1"/>
  <c r="AA65" i="4"/>
  <c r="AB65" i="4"/>
  <c r="AA67" i="4"/>
  <c r="AB67" i="4"/>
  <c r="AA68" i="4"/>
  <c r="AB66" i="4" l="1"/>
  <c r="Q12" i="6"/>
  <c r="Q10" i="6"/>
  <c r="Q8" i="6"/>
  <c r="Q14" i="6" l="1"/>
  <c r="T12" i="6"/>
  <c r="S12" i="6"/>
  <c r="T10" i="6"/>
  <c r="S10" i="6"/>
  <c r="T8" i="6"/>
  <c r="S8" i="6"/>
  <c r="Q6" i="6"/>
  <c r="Q4" i="6"/>
  <c r="Q16" i="6" l="1"/>
  <c r="Q105" i="4" s="1"/>
  <c r="T14" i="6"/>
  <c r="S14" i="6"/>
  <c r="T6" i="6"/>
  <c r="S6" i="6"/>
  <c r="S4" i="6"/>
  <c r="T4" i="6"/>
  <c r="T16" i="6" l="1"/>
  <c r="S105" i="4"/>
  <c r="T105" i="4"/>
  <c r="T92" i="4"/>
  <c r="T93" i="4" l="1"/>
  <c r="X93" i="4" s="1"/>
  <c r="Q97" i="4" l="1"/>
  <c r="O96" i="4"/>
  <c r="Q96" i="4" s="1"/>
  <c r="O95" i="4"/>
  <c r="O94" i="4"/>
  <c r="Q94" i="4" s="1"/>
  <c r="T88" i="4"/>
  <c r="T78" i="4"/>
  <c r="T79" i="4" s="1"/>
  <c r="Q95" i="4" l="1"/>
  <c r="T96" i="4"/>
  <c r="X96" i="4" s="1"/>
  <c r="S96" i="4"/>
  <c r="T97" i="4"/>
  <c r="X97" i="4" s="1"/>
  <c r="S97" i="4"/>
  <c r="T100" i="4" s="1"/>
  <c r="T94" i="4"/>
  <c r="X94" i="4" s="1"/>
  <c r="S94" i="4"/>
  <c r="Q83" i="4"/>
  <c r="T75" i="4"/>
  <c r="T95" i="4" l="1"/>
  <c r="X95" i="4" s="1"/>
  <c r="S95" i="4"/>
  <c r="T99" i="4" s="1"/>
  <c r="G62" i="4"/>
  <c r="T62" i="4" s="1"/>
  <c r="O67" i="4" s="1"/>
  <c r="T63" i="4"/>
  <c r="O71" i="4" s="1"/>
  <c r="Q71" i="4" s="1"/>
  <c r="T71" i="4" s="1"/>
  <c r="O65" i="4" l="1"/>
  <c r="O66" i="4"/>
  <c r="O69" i="4"/>
  <c r="Q69" i="4" s="1"/>
  <c r="T69" i="4" s="1"/>
  <c r="O70" i="4"/>
  <c r="Q70" i="4" s="1"/>
  <c r="S70" i="4" s="1"/>
  <c r="S71" i="4"/>
  <c r="T64" i="4"/>
  <c r="Q68" i="4" l="1"/>
  <c r="Q66" i="4" s="1"/>
  <c r="Q106" i="4" s="1"/>
  <c r="S69" i="4"/>
  <c r="T70" i="4"/>
  <c r="Q67" i="4"/>
  <c r="T59" i="4"/>
  <c r="Y69" i="4" l="1"/>
  <c r="T106" i="4"/>
  <c r="S106" i="4"/>
  <c r="S65" i="4"/>
  <c r="T65" i="4"/>
  <c r="S66" i="4"/>
  <c r="T66" i="4"/>
  <c r="S67" i="4"/>
  <c r="T67" i="4"/>
  <c r="T68" i="4"/>
  <c r="S68" i="4"/>
  <c r="T50" i="4"/>
  <c r="T51" i="4" s="1"/>
  <c r="O54" i="4" l="1"/>
  <c r="Q54" i="4" s="1"/>
  <c r="T54" i="4" s="1"/>
  <c r="Q55" i="4"/>
  <c r="T74" i="4"/>
  <c r="T73" i="4"/>
  <c r="O52" i="4"/>
  <c r="O53" i="4"/>
  <c r="Q53" i="4" l="1"/>
  <c r="S54" i="4"/>
  <c r="Q52" i="4"/>
  <c r="S52" i="4" s="1"/>
  <c r="T55" i="4"/>
  <c r="T53" i="4"/>
  <c r="S55" i="4"/>
  <c r="T58" i="4" s="1"/>
  <c r="S42" i="4"/>
  <c r="T46" i="4" s="1"/>
  <c r="T47" i="4"/>
  <c r="T36" i="4"/>
  <c r="T37" i="4" s="1"/>
  <c r="T52" i="4" l="1"/>
  <c r="Q41" i="4"/>
  <c r="T41" i="4" s="1"/>
  <c r="S53" i="4"/>
  <c r="T72" i="4" s="1"/>
  <c r="T76" i="4" s="1"/>
  <c r="T77" i="4" s="1"/>
  <c r="O40" i="4"/>
  <c r="Q40" i="4" s="1"/>
  <c r="S40" i="4" s="1"/>
  <c r="O38" i="4"/>
  <c r="Q38" i="4" s="1"/>
  <c r="T38" i="4" s="1"/>
  <c r="O39" i="4"/>
  <c r="Q39" i="4" s="1"/>
  <c r="O16" i="4"/>
  <c r="O84" i="4" s="1"/>
  <c r="Q84" i="4" s="1"/>
  <c r="S84" i="4" s="1"/>
  <c r="T57" i="4" l="1"/>
  <c r="T84" i="4"/>
  <c r="O82" i="4"/>
  <c r="Q82" i="4" s="1"/>
  <c r="O80" i="4"/>
  <c r="Q80" i="4" s="1"/>
  <c r="O81" i="4"/>
  <c r="Q81" i="4" s="1"/>
  <c r="T40" i="4"/>
  <c r="S41" i="4"/>
  <c r="S38" i="4"/>
  <c r="T33" i="4"/>
  <c r="T8" i="4"/>
  <c r="S83" i="4" l="1"/>
  <c r="T83" i="4"/>
  <c r="S80" i="4"/>
  <c r="T80" i="4"/>
  <c r="T82" i="4"/>
  <c r="S82" i="4"/>
  <c r="S39" i="4"/>
  <c r="T56" i="4" s="1"/>
  <c r="T39" i="4"/>
  <c r="Q14" i="4"/>
  <c r="W100" i="4" l="1"/>
  <c r="X100" i="4" s="1"/>
  <c r="T87" i="4"/>
  <c r="T81" i="4"/>
  <c r="S81" i="4"/>
  <c r="T86" i="4" s="1"/>
  <c r="T60" i="4"/>
  <c r="T61" i="4" s="1"/>
  <c r="T44" i="4"/>
  <c r="T7" i="4"/>
  <c r="T85" i="4" l="1"/>
  <c r="W99" i="4"/>
  <c r="T98" i="4"/>
  <c r="T114" i="4"/>
  <c r="T118" i="4" s="1"/>
  <c r="T90" i="4"/>
  <c r="T9" i="4"/>
  <c r="C29" i="6" l="1"/>
  <c r="C30" i="6" s="1"/>
  <c r="C43" i="6" s="1"/>
  <c r="Q13" i="4"/>
  <c r="O12" i="4"/>
  <c r="Q12" i="4" s="1"/>
  <c r="S12" i="4" s="1"/>
  <c r="O11" i="4"/>
  <c r="O10" i="4"/>
  <c r="T103" i="4"/>
  <c r="W98" i="4"/>
  <c r="X98" i="4" s="1"/>
  <c r="X99" i="4"/>
  <c r="T91" i="4"/>
  <c r="Q18" i="4"/>
  <c r="T18" i="4" s="1"/>
  <c r="Q11" i="4" l="1"/>
  <c r="C31" i="6"/>
  <c r="D43" i="6" s="1"/>
  <c r="T104" i="4"/>
  <c r="X104" i="4" s="1"/>
  <c r="X103" i="4"/>
  <c r="T119" i="4" s="1"/>
  <c r="T120" i="4" s="1"/>
  <c r="T12" i="4"/>
  <c r="S13" i="4"/>
  <c r="T13" i="4"/>
  <c r="S18" i="4"/>
  <c r="T28" i="4" l="1"/>
  <c r="T107" i="4" s="1"/>
  <c r="T45" i="4"/>
  <c r="T43" i="4" s="1"/>
  <c r="T48" i="4" s="1"/>
  <c r="Q16" i="4"/>
  <c r="T16" i="4" s="1"/>
  <c r="T49" i="4" l="1"/>
  <c r="S16" i="4"/>
  <c r="T15" i="4" l="1"/>
  <c r="T17" i="4" l="1"/>
  <c r="T14" i="4" l="1"/>
  <c r="S17" i="4"/>
  <c r="T30" i="4" s="1"/>
  <c r="S15" i="4"/>
  <c r="S23" i="4"/>
  <c r="D4" i="3"/>
  <c r="D7" i="3"/>
  <c r="C14" i="2"/>
  <c r="C9" i="2"/>
  <c r="D6" i="3"/>
  <c r="D3" i="3"/>
  <c r="D2" i="3"/>
  <c r="D8" i="3" s="1"/>
  <c r="B16" i="2" l="1"/>
  <c r="S14" i="4"/>
  <c r="T29" i="4" s="1"/>
  <c r="S25" i="4"/>
  <c r="S22" i="4"/>
  <c r="S24" i="4"/>
  <c r="Q10" i="4" l="1"/>
  <c r="T10" i="4" s="1"/>
  <c r="T11" i="4" l="1"/>
  <c r="S10" i="4"/>
  <c r="S11" i="4" l="1"/>
  <c r="T27" i="4" s="1"/>
  <c r="Q21" i="4" l="1"/>
  <c r="T21" i="4" s="1"/>
  <c r="Q19" i="4"/>
  <c r="T19" i="4" s="1"/>
  <c r="Q20" i="4"/>
  <c r="S20" i="4" l="1"/>
  <c r="T20" i="4"/>
  <c r="S21" i="4"/>
  <c r="S19" i="4"/>
  <c r="T31" i="4" l="1"/>
  <c r="T26" i="4" s="1"/>
  <c r="T34" i="4" s="1"/>
  <c r="U118" i="4" l="1"/>
  <c r="U132" i="4" s="1"/>
  <c r="U103" i="4"/>
  <c r="W107" i="4" s="1"/>
  <c r="U90" i="4" l="1"/>
  <c r="T35" i="4"/>
  <c r="U48" i="4"/>
  <c r="U76" i="4"/>
  <c r="U60" i="4"/>
</calcChain>
</file>

<file path=xl/sharedStrings.xml><?xml version="1.0" encoding="utf-8"?>
<sst xmlns="http://schemas.openxmlformats.org/spreadsheetml/2006/main" count="1353" uniqueCount="174">
  <si>
    <t>Série</t>
  </si>
  <si>
    <t>Lançamento</t>
  </si>
  <si>
    <t>Razão Social</t>
  </si>
  <si>
    <t>CNPJ</t>
  </si>
  <si>
    <t>Número</t>
  </si>
  <si>
    <t>Banco</t>
  </si>
  <si>
    <t>Agência</t>
  </si>
  <si>
    <t>Conta</t>
  </si>
  <si>
    <t>Fee Estruturação</t>
  </si>
  <si>
    <t>Agente Fiduciário</t>
  </si>
  <si>
    <t>Total</t>
  </si>
  <si>
    <t>Fonte</t>
  </si>
  <si>
    <t>%</t>
  </si>
  <si>
    <t>IR</t>
  </si>
  <si>
    <t>CSLL</t>
  </si>
  <si>
    <t>PIS</t>
  </si>
  <si>
    <t>COFINS</t>
  </si>
  <si>
    <t>TOTAL</t>
  </si>
  <si>
    <t>Alíquota</t>
  </si>
  <si>
    <t>ISS</t>
  </si>
  <si>
    <t>IR Adicional</t>
  </si>
  <si>
    <t>CSLL Adicional</t>
  </si>
  <si>
    <t>Gross Up</t>
  </si>
  <si>
    <t>Demonstrativo Liquidação</t>
  </si>
  <si>
    <t>29800-0</t>
  </si>
  <si>
    <t>Capitânia</t>
  </si>
  <si>
    <t>Forte Securitizadora S/A</t>
  </si>
  <si>
    <t>29900-6</t>
  </si>
  <si>
    <t>29850-6</t>
  </si>
  <si>
    <t>12.979.898/0001-70</t>
  </si>
  <si>
    <t>S/A</t>
  </si>
  <si>
    <t>Ltda.</t>
  </si>
  <si>
    <t>Centralizadora</t>
  </si>
  <si>
    <t>BNY</t>
  </si>
  <si>
    <t>CHB</t>
  </si>
  <si>
    <t>Débitos: Cetip e Bradesco</t>
  </si>
  <si>
    <t>Fundo de Despesa + Pentágono + Adv + Cartório + Fitch</t>
  </si>
  <si>
    <t>Fundo de Reserva</t>
  </si>
  <si>
    <t>Agente Custodiante</t>
  </si>
  <si>
    <t>Agente Registrador CCI</t>
  </si>
  <si>
    <t>Retenção de Impostos sobre NFs</t>
  </si>
  <si>
    <t>Valor Bruto NF</t>
  </si>
  <si>
    <t>Gross-Up</t>
  </si>
  <si>
    <t>Valor do Serviço</t>
  </si>
  <si>
    <t>Retenção</t>
  </si>
  <si>
    <t>Retenção NF</t>
  </si>
  <si>
    <t>Forte Securitizadora S.A.</t>
  </si>
  <si>
    <t>Quantidade</t>
  </si>
  <si>
    <t>Coordenador Líder</t>
  </si>
  <si>
    <t>Registro CCI B3 (Débito Automático)</t>
  </si>
  <si>
    <t>Registro CRI B3 (Débito Automático)</t>
  </si>
  <si>
    <t>Custos Mov. CRI/CCI B3 (Estimado-Deb. Aut.)</t>
  </si>
  <si>
    <t>21.567.223/0001-05</t>
  </si>
  <si>
    <t>12663-1</t>
  </si>
  <si>
    <t>Taxa de Registro - Anbima</t>
  </si>
  <si>
    <t>0869-8</t>
  </si>
  <si>
    <t>Imposto - Coordenador Líder</t>
  </si>
  <si>
    <t>Imposto - Auditoria Financeira e Implantação</t>
  </si>
  <si>
    <t>TForte Participação Ltda</t>
  </si>
  <si>
    <t>Imposto - TForte Participação Ltda</t>
  </si>
  <si>
    <t>Taxa de Sucesso</t>
  </si>
  <si>
    <t>Imposto - Agente Fiduciário</t>
  </si>
  <si>
    <t>Itaú Unibanco S.A.</t>
  </si>
  <si>
    <t>CM Capital Markets DTVM</t>
  </si>
  <si>
    <t>02.671.743/0001-19</t>
  </si>
  <si>
    <t>096</t>
  </si>
  <si>
    <t>0001</t>
  </si>
  <si>
    <t>208-0</t>
  </si>
  <si>
    <t>Banco BM&amp;F</t>
  </si>
  <si>
    <t>Banco Bradesco S.A.</t>
  </si>
  <si>
    <t>29.333.942/0001-73</t>
  </si>
  <si>
    <t>Vórtx DTVM Ltda.</t>
  </si>
  <si>
    <t>22.610.500/0001-88</t>
  </si>
  <si>
    <t>13.017-6</t>
  </si>
  <si>
    <t>Observação</t>
  </si>
  <si>
    <t>Natureza do Pagamento</t>
  </si>
  <si>
    <t>Transferência</t>
  </si>
  <si>
    <t>Retenção de Impostos</t>
  </si>
  <si>
    <t xml:space="preserve">Provisão de Despesas </t>
  </si>
  <si>
    <t>Aplicação</t>
  </si>
  <si>
    <t>CM Capital Markets DTVM Ltda.</t>
  </si>
  <si>
    <t>Engenharia</t>
  </si>
  <si>
    <t>Helio S. Gomes Engenharia - ME</t>
  </si>
  <si>
    <t>22.234.234/0001-36</t>
  </si>
  <si>
    <t>001</t>
  </si>
  <si>
    <t>Banco do Brasil S.A.</t>
  </si>
  <si>
    <t>825-7</t>
  </si>
  <si>
    <t>109.176-X</t>
  </si>
  <si>
    <t>Outros Custos (Reembolso)</t>
  </si>
  <si>
    <t>Reembolso Forte</t>
  </si>
  <si>
    <t>Implantação</t>
  </si>
  <si>
    <t>Auditoria Financeira</t>
  </si>
  <si>
    <t>3333-2</t>
  </si>
  <si>
    <t xml:space="preserve">4092-4 </t>
  </si>
  <si>
    <t>CONVESTE AUDFILES SERVICOS FINANCEIROS LTDA</t>
  </si>
  <si>
    <t>29.758.816/0001-60</t>
  </si>
  <si>
    <t xml:space="preserve">Advogados - Assessoria </t>
  </si>
  <si>
    <t>IBS Advogados (Issaka Sociedade de Advogados)</t>
  </si>
  <si>
    <t>0350</t>
  </si>
  <si>
    <t>22143-8</t>
  </si>
  <si>
    <t xml:space="preserve">Data </t>
  </si>
  <si>
    <t>Integralização</t>
  </si>
  <si>
    <t>Valor</t>
  </si>
  <si>
    <t>Data do Pagamento
(Financeiro)</t>
  </si>
  <si>
    <t xml:space="preserve">Aguardar transferência </t>
  </si>
  <si>
    <t>Mapa de Liquidação Séries 197ª a 204ª - 1ª Emissão - CRI Gramado Parks</t>
  </si>
  <si>
    <t>198ª</t>
  </si>
  <si>
    <t>197ª</t>
  </si>
  <si>
    <t>Originador</t>
  </si>
  <si>
    <t>Liberação para a cedente</t>
  </si>
  <si>
    <t>GRAMADO BV RESORT INCORPORAÇÕES LTDA.</t>
  </si>
  <si>
    <t>23.448.583/0001-13</t>
  </si>
  <si>
    <t>Banco Banrisul S.A.</t>
  </si>
  <si>
    <t>0665</t>
  </si>
  <si>
    <t>06.072648.0-0</t>
  </si>
  <si>
    <t>17311-2</t>
  </si>
  <si>
    <t>Total Dia</t>
  </si>
  <si>
    <t>Total Integralização</t>
  </si>
  <si>
    <t>Se7e - Soluções Empresariais</t>
  </si>
  <si>
    <t>Cobrança não recebida</t>
  </si>
  <si>
    <t>Imposto - Se7e - Soluções Empresariais</t>
  </si>
  <si>
    <t>Verificar se existe mais algum reembolso</t>
  </si>
  <si>
    <t>Comissão Firme</t>
  </si>
  <si>
    <t>Banco Cooperativo do Brasil S.A.</t>
  </si>
  <si>
    <t xml:space="preserve">Banco Cooperativo do Brasil S.A. </t>
  </si>
  <si>
    <t>Rating</t>
  </si>
  <si>
    <t>AUSTIN RATING SERVIÇOS FINANCEIROS LTDA</t>
  </si>
  <si>
    <t>05.803.488/0003-70</t>
  </si>
  <si>
    <t>Boleto</t>
  </si>
  <si>
    <t>Deduções do Fee de Sucesso: Originador e R$ 4 mil do pgto da Austin</t>
  </si>
  <si>
    <t>Imposto - Austin Serviços Financeiros Ltda.</t>
  </si>
  <si>
    <t>16.629.868/0001-95</t>
  </si>
  <si>
    <t xml:space="preserve">com a retenção do dia 30/11 que não foi feita </t>
  </si>
  <si>
    <t>PU
Liquidação</t>
  </si>
  <si>
    <t>200ª</t>
  </si>
  <si>
    <t>Fee Estruturação - série 198</t>
  </si>
  <si>
    <t>Taxa de Sucesso - série 198</t>
  </si>
  <si>
    <t>Comissão Firme - série 198</t>
  </si>
  <si>
    <t>Fee Estruturação - série 200</t>
  </si>
  <si>
    <t>Taxa de Sucesso - série 200</t>
  </si>
  <si>
    <t>Comissão Firme - série 200</t>
  </si>
  <si>
    <t>Provisão PMT</t>
  </si>
  <si>
    <t>Parcial 14/12/2018</t>
  </si>
  <si>
    <t>Compensação da retenção feita a mais no dia  05/12 - célula T41</t>
  </si>
  <si>
    <t>Pagamento parcial do originador  - liquidações até 14/12/2018</t>
  </si>
  <si>
    <t>Diferença do pagamento feito a menor no dia 10/12</t>
  </si>
  <si>
    <t>Série 198ª</t>
  </si>
  <si>
    <t>Série 200ª</t>
  </si>
  <si>
    <t>Total dia</t>
  </si>
  <si>
    <t>Valores Corretos</t>
  </si>
  <si>
    <r>
      <rPr>
        <b/>
        <sz val="9"/>
        <color theme="9"/>
        <rFont val="Arial"/>
        <family val="2"/>
      </rPr>
      <t>Valor correto</t>
    </r>
    <r>
      <rPr>
        <sz val="9"/>
        <rFont val="Arial"/>
        <family val="2"/>
      </rPr>
      <t xml:space="preserve"> é sobre a liquidação da série 198 apenas </t>
    </r>
    <r>
      <rPr>
        <sz val="9"/>
        <rFont val="Calibri"/>
        <family val="2"/>
      </rPr>
      <t>→</t>
    </r>
  </si>
  <si>
    <t>Diferença entre o provisionado (T16) e o total dos serviços+reembolsos</t>
  </si>
  <si>
    <t>Valor total a provisionar: 0,25%*Primeira tranche</t>
  </si>
  <si>
    <t>Fee do originador incide somente sobre o valor da primeira tranche</t>
  </si>
  <si>
    <t>Total a liberar para Kgiro de ser de R$ 14.800.000,00
(cláusula 2.2.1.1 Adit. Contrato de Cessão)</t>
  </si>
  <si>
    <t>29330-3</t>
  </si>
  <si>
    <t>Valor realizado</t>
  </si>
  <si>
    <t>Diferença</t>
  </si>
  <si>
    <t>Diferença referente ao valor transferido a menor no dia 14/12</t>
  </si>
  <si>
    <t>Fundo de Obra</t>
  </si>
  <si>
    <t>1601/2019</t>
  </si>
  <si>
    <t>Total liquidado 2ª tranche até 06/02/2019</t>
  </si>
  <si>
    <t>Parcial 2ª tranche 06/02/2019</t>
  </si>
  <si>
    <t>Total de liquidações</t>
  </si>
  <si>
    <t>Originador Bruto</t>
  </si>
  <si>
    <t>Originador Liquido</t>
  </si>
  <si>
    <t>NF pagas</t>
  </si>
  <si>
    <t>valor liquido</t>
  </si>
  <si>
    <t>#</t>
  </si>
  <si>
    <t>Elaborado por Camila Coelho</t>
  </si>
  <si>
    <t>Originador - retenção liquidação de 09/01</t>
  </si>
  <si>
    <t>Originador - retenção liquidação de 11/01</t>
  </si>
  <si>
    <t>0393</t>
  </si>
  <si>
    <t>23303-6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</si>
</sst>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_(#,##0.00_);_(\(#,##0.00\);_(&quot;-&quot;_);_(@_)"/>
    <numFmt numFmtId="167" formatCode="_(#,##0_);_(\(#,##0\);_(&quot;-&quot;_);_(@_)"/>
    <numFmt numFmtId="168" formatCode="0.000%"/>
    <numFmt numFmtId="169" formatCode="#,##0.00_ ;\-#,##0.00\ "/>
    <numFmt numFmtId="170" formatCode="0.0000%&quot; a.a.&quot;"/>
    <numFmt numFmtId="171" formatCode="&quot;Acumulado Originador Bruto = &quot;&quot;R$&quot;\ #,##0"/>
    <numFmt numFmtId="172" formatCode="&quot;Acumulado Kgiro = &quot;&quot;R$&quot;\ #,##0"/>
    <numFmt numFmtId="173" formatCode="&quot;Acumulado Kgiro = &quot;&quot;R$&quot;\ #,##0.00"/>
    <numFmt numFmtId="174" formatCode="&quot;R$&quot;\ #,##0.00"/>
    <numFmt numFmtId="175" formatCode="&quot;R$&quot;\ #,##0.0000000"/>
  </numFmts>
  <fonts count="3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8"/>
      <color rgb="FFFF0000"/>
      <name val="Arial"/>
      <family val="2"/>
    </font>
    <font>
      <i/>
      <sz val="8"/>
      <color theme="0"/>
      <name val="Arial"/>
      <family val="2"/>
    </font>
    <font>
      <sz val="11"/>
      <color theme="1"/>
      <name val="Arial"/>
      <family val="2"/>
    </font>
    <font>
      <sz val="20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sz val="9"/>
      <color theme="5"/>
      <name val="Arial"/>
      <family val="2"/>
    </font>
    <font>
      <i/>
      <sz val="9"/>
      <color theme="5"/>
      <name val="Arial"/>
      <family val="2"/>
    </font>
    <font>
      <sz val="8"/>
      <color theme="5"/>
      <name val="Arial"/>
      <family val="2"/>
    </font>
    <font>
      <b/>
      <sz val="11"/>
      <color theme="1"/>
      <name val="Arial"/>
      <family val="2"/>
    </font>
    <font>
      <sz val="9"/>
      <name val="Calibri"/>
      <family val="2"/>
    </font>
    <font>
      <b/>
      <i/>
      <sz val="9"/>
      <color theme="9"/>
      <name val="Arial"/>
      <family val="2"/>
    </font>
    <font>
      <b/>
      <sz val="9"/>
      <color theme="9"/>
      <name val="Arial"/>
      <family val="2"/>
    </font>
    <font>
      <b/>
      <sz val="8"/>
      <color theme="0" tint="-0.499984740745262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3E4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theme="0" tint="-4.9989318521683403E-2"/>
      </bottom>
      <diagonal/>
    </border>
    <border>
      <left style="dotted">
        <color theme="0" tint="-0.34998626667073579"/>
      </left>
      <right/>
      <top/>
      <bottom style="dotted">
        <color theme="0" tint="-4.9989318521683403E-2"/>
      </bottom>
      <diagonal/>
    </border>
    <border>
      <left/>
      <right style="dotted">
        <color theme="0" tint="-0.34998626667073579"/>
      </right>
      <top/>
      <bottom style="dotted">
        <color theme="0" tint="-4.9989318521683403E-2"/>
      </bottom>
      <diagonal/>
    </border>
    <border>
      <left/>
      <right style="dotted">
        <color theme="0" tint="-0.24994659260841701"/>
      </right>
      <top/>
      <bottom style="thin">
        <color auto="1"/>
      </bottom>
      <diagonal/>
    </border>
    <border>
      <left/>
      <right style="dotted">
        <color theme="0" tint="-0.24994659260841701"/>
      </right>
      <top/>
      <bottom/>
      <diagonal/>
    </border>
    <border>
      <left/>
      <right style="dotted">
        <color theme="0" tint="-0.24994659260841701"/>
      </right>
      <top style="dotted">
        <color theme="0" tint="-0.34998626667073579"/>
      </top>
      <bottom/>
      <diagonal/>
    </border>
    <border>
      <left/>
      <right style="dotted">
        <color theme="0" tint="-0.24994659260841701"/>
      </right>
      <top/>
      <bottom style="dotted">
        <color theme="0" tint="-0.34998626667073579"/>
      </bottom>
      <diagonal/>
    </border>
    <border>
      <left/>
      <right style="dotted">
        <color theme="0" tint="-0.24994659260841701"/>
      </right>
      <top/>
      <bottom style="dotted">
        <color theme="0" tint="-4.9989318521683403E-2"/>
      </bottom>
      <diagonal/>
    </border>
    <border>
      <left/>
      <right style="dotted">
        <color theme="0" tint="-0.2499465926084170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0" fontId="5" fillId="0" borderId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</cellStyleXfs>
  <cellXfs count="434">
    <xf numFmtId="0" fontId="0" fillId="0" borderId="0" xfId="0"/>
    <xf numFmtId="0" fontId="6" fillId="0" borderId="0" xfId="0" applyFont="1"/>
    <xf numFmtId="0" fontId="7" fillId="0" borderId="1" xfId="1" applyFont="1" applyBorder="1" applyAlignment="1">
      <alignment horizontal="centerContinuous" vertical="center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6" fillId="0" borderId="0" xfId="0" applyFont="1" applyAlignment="1">
      <alignment horizontal="left" vertical="center"/>
    </xf>
    <xf numFmtId="168" fontId="6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68" fontId="8" fillId="0" borderId="4" xfId="0" applyNumberFormat="1" applyFont="1" applyBorder="1" applyAlignment="1">
      <alignment horizontal="center" vertical="center"/>
    </xf>
    <xf numFmtId="168" fontId="8" fillId="0" borderId="0" xfId="0" applyNumberFormat="1" applyFont="1" applyBorder="1" applyAlignment="1">
      <alignment horizontal="centerContinuous" vertical="center"/>
    </xf>
    <xf numFmtId="43" fontId="0" fillId="0" borderId="0" xfId="3" applyFont="1"/>
    <xf numFmtId="43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center"/>
    </xf>
    <xf numFmtId="43" fontId="11" fillId="0" borderId="0" xfId="3" applyFont="1" applyAlignment="1">
      <alignment vertical="center"/>
    </xf>
    <xf numFmtId="43" fontId="11" fillId="0" borderId="0" xfId="3" applyFont="1"/>
    <xf numFmtId="0" fontId="11" fillId="0" borderId="0" xfId="0" applyFont="1" applyAlignment="1">
      <alignment vertical="center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Fill="1" applyAlignment="1">
      <alignment horizontal="center" vertical="center"/>
    </xf>
    <xf numFmtId="170" fontId="11" fillId="0" borderId="0" xfId="2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167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0" fontId="11" fillId="0" borderId="0" xfId="4" applyNumberFormat="1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3" borderId="0" xfId="0" applyFont="1" applyFill="1" applyBorder="1" applyAlignment="1" applyProtection="1">
      <alignment horizontal="centerContinuous" vertical="center" wrapText="1"/>
      <protection locked="0"/>
    </xf>
    <xf numFmtId="0" fontId="11" fillId="0" borderId="0" xfId="0" applyFont="1" applyFill="1" applyBorder="1" applyAlignment="1">
      <alignment vertical="center"/>
    </xf>
    <xf numFmtId="164" fontId="11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10" fontId="15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Fill="1" applyAlignment="1">
      <alignment vertical="center"/>
    </xf>
    <xf numFmtId="10" fontId="16" fillId="0" borderId="0" xfId="0" applyNumberFormat="1" applyFont="1" applyFill="1" applyBorder="1" applyAlignment="1">
      <alignment horizontal="center" vertical="center"/>
    </xf>
    <xf numFmtId="43" fontId="11" fillId="0" borderId="0" xfId="3" applyFont="1" applyAlignment="1">
      <alignment horizontal="right"/>
    </xf>
    <xf numFmtId="0" fontId="11" fillId="0" borderId="0" xfId="0" applyFont="1" applyFill="1"/>
    <xf numFmtId="0" fontId="17" fillId="0" borderId="0" xfId="0" applyFont="1"/>
    <xf numFmtId="0" fontId="19" fillId="0" borderId="0" xfId="0" applyFont="1"/>
    <xf numFmtId="43" fontId="20" fillId="0" borderId="0" xfId="3" applyFont="1" applyFill="1" applyBorder="1" applyAlignment="1">
      <alignment horizontal="center" vertical="center"/>
    </xf>
    <xf numFmtId="8" fontId="11" fillId="0" borderId="0" xfId="3" applyNumberFormat="1" applyFont="1" applyAlignment="1">
      <alignment horizontal="right"/>
    </xf>
    <xf numFmtId="0" fontId="10" fillId="0" borderId="0" xfId="0" applyFont="1" applyFill="1" applyBorder="1" applyAlignment="1">
      <alignment vertical="center"/>
    </xf>
    <xf numFmtId="10" fontId="14" fillId="0" borderId="0" xfId="0" applyNumberFormat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center"/>
    </xf>
    <xf numFmtId="0" fontId="10" fillId="6" borderId="0" xfId="0" quotePrefix="1" applyFont="1" applyFill="1" applyBorder="1" applyAlignment="1">
      <alignment horizontal="center" vertical="center"/>
    </xf>
    <xf numFmtId="164" fontId="11" fillId="6" borderId="0" xfId="0" applyNumberFormat="1" applyFont="1" applyFill="1" applyBorder="1" applyAlignment="1">
      <alignment horizontal="center" vertical="center"/>
    </xf>
    <xf numFmtId="10" fontId="14" fillId="6" borderId="0" xfId="0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64" fontId="11" fillId="7" borderId="0" xfId="0" applyNumberFormat="1" applyFont="1" applyFill="1" applyBorder="1" applyAlignment="1">
      <alignment horizontal="center" vertical="center"/>
    </xf>
    <xf numFmtId="10" fontId="14" fillId="7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164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4" fontId="12" fillId="5" borderId="0" xfId="0" applyNumberFormat="1" applyFont="1" applyFill="1" applyAlignment="1">
      <alignment horizontal="center" vertical="center"/>
    </xf>
    <xf numFmtId="166" fontId="12" fillId="5" borderId="0" xfId="0" applyNumberFormat="1" applyFont="1" applyFill="1" applyAlignment="1">
      <alignment horizontal="center" vertical="center"/>
    </xf>
    <xf numFmtId="167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0" xfId="0" quotePrefix="1" applyFont="1" applyFill="1" applyBorder="1" applyAlignment="1">
      <alignment horizontal="center" vertical="center"/>
    </xf>
    <xf numFmtId="10" fontId="21" fillId="5" borderId="0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43" fontId="22" fillId="5" borderId="0" xfId="3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vertical="center"/>
    </xf>
    <xf numFmtId="0" fontId="23" fillId="6" borderId="6" xfId="0" applyFont="1" applyFill="1" applyBorder="1" applyAlignment="1">
      <alignment horizontal="right" vertical="center"/>
    </xf>
    <xf numFmtId="14" fontId="10" fillId="6" borderId="6" xfId="0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right" vertical="center"/>
    </xf>
    <xf numFmtId="0" fontId="23" fillId="6" borderId="7" xfId="0" applyFont="1" applyFill="1" applyBorder="1" applyAlignment="1">
      <alignment horizontal="right" vertical="center"/>
    </xf>
    <xf numFmtId="14" fontId="10" fillId="6" borderId="7" xfId="0" applyNumberFormat="1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23" fillId="6" borderId="0" xfId="0" applyFont="1" applyFill="1" applyBorder="1" applyAlignment="1">
      <alignment horizontal="right" vertical="center"/>
    </xf>
    <xf numFmtId="14" fontId="10" fillId="6" borderId="0" xfId="0" applyNumberFormat="1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right" vertical="center"/>
    </xf>
    <xf numFmtId="14" fontId="10" fillId="7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164" fontId="10" fillId="6" borderId="9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0" fillId="6" borderId="6" xfId="0" quotePrefix="1" applyFont="1" applyFill="1" applyBorder="1" applyAlignment="1">
      <alignment horizontal="center" vertical="center"/>
    </xf>
    <xf numFmtId="164" fontId="11" fillId="6" borderId="6" xfId="0" applyNumberFormat="1" applyFont="1" applyFill="1" applyBorder="1" applyAlignment="1">
      <alignment horizontal="center" vertical="center"/>
    </xf>
    <xf numFmtId="10" fontId="14" fillId="6" borderId="6" xfId="0" applyNumberFormat="1" applyFont="1" applyFill="1" applyBorder="1" applyAlignment="1">
      <alignment horizontal="center" vertical="center"/>
    </xf>
    <xf numFmtId="164" fontId="10" fillId="6" borderId="11" xfId="0" applyNumberFormat="1" applyFont="1" applyFill="1" applyBorder="1" applyAlignment="1">
      <alignment horizontal="center" vertical="center"/>
    </xf>
    <xf numFmtId="164" fontId="10" fillId="6" borderId="12" xfId="0" applyNumberFormat="1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11" fillId="6" borderId="7" xfId="0" applyFont="1" applyFill="1" applyBorder="1" applyAlignment="1">
      <alignment horizontal="center" vertical="center"/>
    </xf>
    <xf numFmtId="0" fontId="10" fillId="6" borderId="7" xfId="0" quotePrefix="1" applyFont="1" applyFill="1" applyBorder="1" applyAlignment="1">
      <alignment horizontal="center" vertical="center"/>
    </xf>
    <xf numFmtId="164" fontId="11" fillId="6" borderId="7" xfId="0" applyNumberFormat="1" applyFont="1" applyFill="1" applyBorder="1" applyAlignment="1">
      <alignment horizontal="center" vertical="center"/>
    </xf>
    <xf numFmtId="10" fontId="14" fillId="6" borderId="7" xfId="0" applyNumberFormat="1" applyFont="1" applyFill="1" applyBorder="1" applyAlignment="1">
      <alignment horizontal="center" vertical="center"/>
    </xf>
    <xf numFmtId="164" fontId="10" fillId="7" borderId="9" xfId="0" applyNumberFormat="1" applyFont="1" applyFill="1" applyBorder="1" applyAlignment="1">
      <alignment horizontal="center" vertical="center"/>
    </xf>
    <xf numFmtId="14" fontId="10" fillId="7" borderId="6" xfId="0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vertical="center"/>
    </xf>
    <xf numFmtId="0" fontId="10" fillId="7" borderId="6" xfId="0" applyFont="1" applyFill="1" applyBorder="1" applyAlignment="1">
      <alignment vertical="center"/>
    </xf>
    <xf numFmtId="164" fontId="11" fillId="7" borderId="6" xfId="0" applyNumberFormat="1" applyFont="1" applyFill="1" applyBorder="1" applyAlignment="1">
      <alignment horizontal="center" vertical="center"/>
    </xf>
    <xf numFmtId="10" fontId="14" fillId="7" borderId="6" xfId="0" applyNumberFormat="1" applyFont="1" applyFill="1" applyBorder="1" applyAlignment="1">
      <alignment horizontal="center" vertical="center"/>
    </xf>
    <xf numFmtId="164" fontId="10" fillId="7" borderId="11" xfId="0" applyNumberFormat="1" applyFont="1" applyFill="1" applyBorder="1" applyAlignment="1">
      <alignment horizontal="center" vertical="center"/>
    </xf>
    <xf numFmtId="164" fontId="10" fillId="7" borderId="12" xfId="0" applyNumberFormat="1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right" vertical="center"/>
    </xf>
    <xf numFmtId="14" fontId="10" fillId="7" borderId="7" xfId="0" applyNumberFormat="1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164" fontId="11" fillId="7" borderId="7" xfId="0" applyNumberFormat="1" applyFont="1" applyFill="1" applyBorder="1" applyAlignment="1">
      <alignment horizontal="center" vertical="center"/>
    </xf>
    <xf numFmtId="10" fontId="14" fillId="7" borderId="7" xfId="0" applyNumberFormat="1" applyFont="1" applyFill="1" applyBorder="1" applyAlignment="1">
      <alignment horizontal="center" vertical="center"/>
    </xf>
    <xf numFmtId="164" fontId="11" fillId="7" borderId="10" xfId="0" applyNumberFormat="1" applyFont="1" applyFill="1" applyBorder="1" applyAlignment="1">
      <alignment horizontal="center" vertical="center"/>
    </xf>
    <xf numFmtId="164" fontId="11" fillId="7" borderId="8" xfId="0" applyNumberFormat="1" applyFont="1" applyFill="1" applyBorder="1" applyAlignment="1">
      <alignment horizontal="center" vertical="center"/>
    </xf>
    <xf numFmtId="164" fontId="11" fillId="7" borderId="13" xfId="0" applyNumberFormat="1" applyFont="1" applyFill="1" applyBorder="1" applyAlignment="1">
      <alignment horizontal="center" vertical="center"/>
    </xf>
    <xf numFmtId="164" fontId="11" fillId="6" borderId="10" xfId="0" applyNumberFormat="1" applyFont="1" applyFill="1" applyBorder="1" applyAlignment="1">
      <alignment horizontal="center" vertical="center"/>
    </xf>
    <xf numFmtId="164" fontId="11" fillId="6" borderId="8" xfId="0" applyNumberFormat="1" applyFont="1" applyFill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12" fillId="0" borderId="0" xfId="0" applyFont="1" applyBorder="1" applyAlignment="1">
      <alignment vertical="center" wrapText="1"/>
    </xf>
    <xf numFmtId="0" fontId="10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0" fillId="4" borderId="0" xfId="0" quotePrefix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0" fontId="14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vertical="center"/>
    </xf>
    <xf numFmtId="0" fontId="12" fillId="0" borderId="0" xfId="0" applyFont="1" applyFill="1" applyAlignment="1"/>
    <xf numFmtId="164" fontId="12" fillId="0" borderId="0" xfId="0" applyNumberFormat="1" applyFont="1" applyFill="1" applyAlignment="1"/>
    <xf numFmtId="164" fontId="10" fillId="0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Alignment="1">
      <alignment vertical="center"/>
    </xf>
    <xf numFmtId="164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/>
    <xf numFmtId="14" fontId="12" fillId="5" borderId="0" xfId="0" applyNumberFormat="1" applyFont="1" applyFill="1" applyAlignment="1">
      <alignment horizontal="center"/>
    </xf>
    <xf numFmtId="166" fontId="12" fillId="5" borderId="0" xfId="0" applyNumberFormat="1" applyFont="1" applyFill="1" applyAlignment="1">
      <alignment horizontal="center"/>
    </xf>
    <xf numFmtId="167" fontId="12" fillId="5" borderId="0" xfId="0" applyNumberFormat="1" applyFont="1" applyFill="1" applyAlignment="1">
      <alignment horizontal="center"/>
    </xf>
    <xf numFmtId="0" fontId="12" fillId="5" borderId="0" xfId="0" applyFont="1" applyFill="1" applyBorder="1" applyAlignment="1"/>
    <xf numFmtId="0" fontId="12" fillId="5" borderId="0" xfId="0" applyFont="1" applyFill="1" applyBorder="1" applyAlignment="1">
      <alignment horizontal="center"/>
    </xf>
    <xf numFmtId="0" fontId="12" fillId="5" borderId="0" xfId="0" quotePrefix="1" applyFont="1" applyFill="1" applyBorder="1" applyAlignment="1">
      <alignment horizontal="center"/>
    </xf>
    <xf numFmtId="10" fontId="21" fillId="5" borderId="0" xfId="0" applyNumberFormat="1" applyFont="1" applyFill="1" applyBorder="1" applyAlignment="1">
      <alignment horizontal="center"/>
    </xf>
    <xf numFmtId="164" fontId="12" fillId="5" borderId="0" xfId="0" applyNumberFormat="1" applyFont="1" applyFill="1" applyBorder="1" applyAlignment="1">
      <alignment horizontal="center"/>
    </xf>
    <xf numFmtId="43" fontId="22" fillId="5" borderId="0" xfId="3" applyFont="1" applyFill="1" applyBorder="1" applyAlignment="1">
      <alignment horizontal="center"/>
    </xf>
    <xf numFmtId="14" fontId="10" fillId="4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indent="1"/>
    </xf>
    <xf numFmtId="0" fontId="14" fillId="4" borderId="0" xfId="0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horizontal="center" vertical="center"/>
    </xf>
    <xf numFmtId="164" fontId="14" fillId="4" borderId="0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4" fontId="10" fillId="4" borderId="0" xfId="0" applyNumberFormat="1" applyFont="1" applyFill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11" fillId="4" borderId="0" xfId="0" applyFont="1" applyFill="1" applyAlignment="1">
      <alignment horizontal="right"/>
    </xf>
    <xf numFmtId="0" fontId="11" fillId="4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 vertical="center"/>
    </xf>
    <xf numFmtId="0" fontId="23" fillId="4" borderId="0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0" fontId="12" fillId="4" borderId="0" xfId="0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 applyProtection="1">
      <alignment horizontal="center" vertical="center" wrapText="1"/>
      <protection locked="0"/>
    </xf>
    <xf numFmtId="164" fontId="11" fillId="8" borderId="0" xfId="0" applyNumberFormat="1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14" fontId="24" fillId="4" borderId="0" xfId="0" applyNumberFormat="1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left" vertical="center" indent="1"/>
    </xf>
    <xf numFmtId="0" fontId="25" fillId="4" borderId="0" xfId="0" applyFont="1" applyFill="1" applyBorder="1" applyAlignment="1">
      <alignment vertical="center"/>
    </xf>
    <xf numFmtId="164" fontId="25" fillId="4" borderId="0" xfId="0" applyNumberFormat="1" applyFont="1" applyFill="1" applyBorder="1" applyAlignment="1">
      <alignment horizontal="center" vertical="center"/>
    </xf>
    <xf numFmtId="49" fontId="25" fillId="4" borderId="0" xfId="0" applyNumberFormat="1" applyFont="1" applyFill="1" applyBorder="1" applyAlignment="1">
      <alignment horizontal="center" vertical="center"/>
    </xf>
    <xf numFmtId="10" fontId="25" fillId="4" borderId="0" xfId="0" applyNumberFormat="1" applyFont="1" applyFill="1" applyBorder="1" applyAlignment="1">
      <alignment horizontal="center" vertical="center"/>
    </xf>
    <xf numFmtId="164" fontId="25" fillId="4" borderId="0" xfId="0" applyNumberFormat="1" applyFont="1" applyFill="1" applyBorder="1" applyAlignment="1">
      <alignment horizontal="center"/>
    </xf>
    <xf numFmtId="0" fontId="27" fillId="0" borderId="0" xfId="0" applyFont="1"/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72" fontId="10" fillId="8" borderId="0" xfId="0" applyNumberFormat="1" applyFont="1" applyFill="1" applyAlignment="1">
      <alignment horizontal="center" vertical="center"/>
    </xf>
    <xf numFmtId="173" fontId="10" fillId="8" borderId="0" xfId="0" applyNumberFormat="1" applyFont="1" applyFill="1" applyAlignment="1">
      <alignment horizontal="center" vertical="center"/>
    </xf>
    <xf numFmtId="164" fontId="10" fillId="9" borderId="0" xfId="0" applyNumberFormat="1" applyFont="1" applyFill="1" applyBorder="1" applyAlignment="1">
      <alignment horizontal="center" vertical="center" wrapText="1"/>
    </xf>
    <xf numFmtId="171" fontId="10" fillId="4" borderId="0" xfId="0" applyNumberFormat="1" applyFont="1" applyFill="1" applyAlignment="1">
      <alignment vertical="center"/>
    </xf>
    <xf numFmtId="164" fontId="10" fillId="5" borderId="0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14" fontId="10" fillId="5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quotePrefix="1" applyFont="1" applyFill="1" applyBorder="1" applyAlignment="1">
      <alignment horizontal="center" vertical="center"/>
    </xf>
    <xf numFmtId="10" fontId="14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center" vertical="center"/>
    </xf>
    <xf numFmtId="43" fontId="20" fillId="5" borderId="0" xfId="3" applyFont="1" applyFill="1" applyBorder="1" applyAlignment="1">
      <alignment horizontal="center" vertical="center"/>
    </xf>
    <xf numFmtId="164" fontId="24" fillId="5" borderId="0" xfId="0" applyNumberFormat="1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vertical="center"/>
    </xf>
    <xf numFmtId="14" fontId="24" fillId="5" borderId="0" xfId="0" applyNumberFormat="1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24" fillId="5" borderId="0" xfId="0" quotePrefix="1" applyFont="1" applyFill="1" applyBorder="1" applyAlignment="1">
      <alignment horizontal="center" vertical="center"/>
    </xf>
    <xf numFmtId="10" fontId="25" fillId="5" borderId="0" xfId="0" applyNumberFormat="1" applyFont="1" applyFill="1" applyBorder="1" applyAlignment="1">
      <alignment horizontal="center" vertical="center"/>
    </xf>
    <xf numFmtId="43" fontId="26" fillId="5" borderId="0" xfId="3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left" vertical="center" indent="1"/>
    </xf>
    <xf numFmtId="0" fontId="14" fillId="5" borderId="0" xfId="0" applyFont="1" applyFill="1" applyBorder="1" applyAlignment="1">
      <alignment vertical="center"/>
    </xf>
    <xf numFmtId="164" fontId="14" fillId="5" borderId="0" xfId="0" applyNumberFormat="1" applyFont="1" applyFill="1" applyBorder="1" applyAlignment="1">
      <alignment horizontal="center" vertical="center"/>
    </xf>
    <xf numFmtId="164" fontId="14" fillId="5" borderId="0" xfId="0" applyNumberFormat="1" applyFont="1" applyFill="1" applyBorder="1" applyAlignment="1">
      <alignment horizontal="center"/>
    </xf>
    <xf numFmtId="164" fontId="10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14" fontId="10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43" fontId="12" fillId="4" borderId="14" xfId="0" applyNumberFormat="1" applyFont="1" applyFill="1" applyBorder="1" applyAlignment="1">
      <alignment horizontal="center" vertical="center"/>
    </xf>
    <xf numFmtId="43" fontId="12" fillId="4" borderId="14" xfId="0" applyNumberFormat="1" applyFont="1" applyFill="1" applyBorder="1" applyAlignment="1">
      <alignment vertical="center"/>
    </xf>
    <xf numFmtId="43" fontId="10" fillId="4" borderId="14" xfId="0" applyNumberFormat="1" applyFont="1" applyFill="1" applyBorder="1" applyAlignment="1">
      <alignment horizontal="center" vertical="center"/>
    </xf>
    <xf numFmtId="43" fontId="10" fillId="4" borderId="14" xfId="0" applyNumberFormat="1" applyFont="1" applyFill="1" applyBorder="1" applyAlignment="1">
      <alignment vertical="center"/>
    </xf>
    <xf numFmtId="43" fontId="11" fillId="4" borderId="14" xfId="0" applyNumberFormat="1" applyFont="1" applyFill="1" applyBorder="1" applyAlignment="1">
      <alignment horizontal="center" vertical="center"/>
    </xf>
    <xf numFmtId="43" fontId="10" fillId="4" borderId="14" xfId="0" quotePrefix="1" applyNumberFormat="1" applyFont="1" applyFill="1" applyBorder="1" applyAlignment="1">
      <alignment horizontal="center" vertical="center"/>
    </xf>
    <xf numFmtId="43" fontId="14" fillId="4" borderId="14" xfId="0" applyNumberFormat="1" applyFont="1" applyFill="1" applyBorder="1" applyAlignment="1">
      <alignment horizontal="center" vertical="center"/>
    </xf>
    <xf numFmtId="164" fontId="10" fillId="5" borderId="0" xfId="0" applyNumberFormat="1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left" vertical="center" indent="1"/>
    </xf>
    <xf numFmtId="0" fontId="25" fillId="5" borderId="0" xfId="0" applyFont="1" applyFill="1" applyBorder="1" applyAlignment="1">
      <alignment vertical="center"/>
    </xf>
    <xf numFmtId="49" fontId="14" fillId="5" borderId="0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14" fontId="10" fillId="4" borderId="14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/>
    </xf>
    <xf numFmtId="0" fontId="11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quotePrefix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0" fontId="14" fillId="4" borderId="14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right" vertical="center"/>
    </xf>
    <xf numFmtId="0" fontId="10" fillId="4" borderId="6" xfId="0" applyFont="1" applyFill="1" applyBorder="1" applyAlignment="1">
      <alignment vertical="center"/>
    </xf>
    <xf numFmtId="10" fontId="14" fillId="4" borderId="6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/>
    </xf>
    <xf numFmtId="164" fontId="10" fillId="5" borderId="11" xfId="0" applyNumberFormat="1" applyFont="1" applyFill="1" applyBorder="1" applyAlignment="1">
      <alignment horizontal="center" vertical="center"/>
    </xf>
    <xf numFmtId="164" fontId="11" fillId="5" borderId="8" xfId="0" applyNumberFormat="1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11" fillId="4" borderId="8" xfId="0" applyNumberFormat="1" applyFont="1" applyFill="1" applyBorder="1" applyAlignment="1">
      <alignment horizontal="center" vertical="center"/>
    </xf>
    <xf numFmtId="164" fontId="10" fillId="4" borderId="11" xfId="0" applyNumberFormat="1" applyFont="1" applyFill="1" applyBorder="1" applyAlignment="1">
      <alignment horizontal="center" vertical="center"/>
    </xf>
    <xf numFmtId="164" fontId="10" fillId="5" borderId="12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vertical="center"/>
    </xf>
    <xf numFmtId="14" fontId="10" fillId="5" borderId="7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vertical="center"/>
    </xf>
    <xf numFmtId="164" fontId="14" fillId="5" borderId="7" xfId="0" applyNumberFormat="1" applyFont="1" applyFill="1" applyBorder="1" applyAlignment="1">
      <alignment horizontal="center" vertical="center"/>
    </xf>
    <xf numFmtId="10" fontId="14" fillId="5" borderId="7" xfId="0" applyNumberFormat="1" applyFont="1" applyFill="1" applyBorder="1" applyAlignment="1">
      <alignment horizontal="center" vertical="center"/>
    </xf>
    <xf numFmtId="164" fontId="11" fillId="5" borderId="13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vertical="center"/>
    </xf>
    <xf numFmtId="14" fontId="10" fillId="4" borderId="15" xfId="0" applyNumberFormat="1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left" vertical="center" indent="1"/>
    </xf>
    <xf numFmtId="0" fontId="10" fillId="0" borderId="15" xfId="0" applyFont="1" applyFill="1" applyBorder="1" applyAlignment="1">
      <alignment vertical="center"/>
    </xf>
    <xf numFmtId="49" fontId="14" fillId="4" borderId="15" xfId="0" applyNumberFormat="1" applyFont="1" applyFill="1" applyBorder="1" applyAlignment="1">
      <alignment horizontal="center" vertical="center"/>
    </xf>
    <xf numFmtId="164" fontId="14" fillId="4" borderId="15" xfId="0" applyNumberFormat="1" applyFont="1" applyFill="1" applyBorder="1" applyAlignment="1">
      <alignment horizontal="center" vertical="center"/>
    </xf>
    <xf numFmtId="10" fontId="14" fillId="4" borderId="15" xfId="0" applyNumberFormat="1" applyFont="1" applyFill="1" applyBorder="1" applyAlignment="1">
      <alignment horizontal="center" vertical="center"/>
    </xf>
    <xf numFmtId="164" fontId="14" fillId="4" borderId="15" xfId="0" applyNumberFormat="1" applyFont="1" applyFill="1" applyBorder="1" applyAlignment="1">
      <alignment horizontal="center"/>
    </xf>
    <xf numFmtId="164" fontId="10" fillId="5" borderId="9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vertical="center"/>
    </xf>
    <xf numFmtId="164" fontId="10" fillId="5" borderId="6" xfId="0" applyNumberFormat="1" applyFont="1" applyFill="1" applyBorder="1" applyAlignment="1">
      <alignment horizontal="center" vertical="center"/>
    </xf>
    <xf numFmtId="10" fontId="14" fillId="5" borderId="6" xfId="0" applyNumberFormat="1" applyFont="1" applyFill="1" applyBorder="1" applyAlignment="1">
      <alignment horizontal="center" vertical="center"/>
    </xf>
    <xf numFmtId="164" fontId="10" fillId="5" borderId="10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164" fontId="24" fillId="5" borderId="11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7" xfId="0" quotePrefix="1" applyFont="1" applyFill="1" applyBorder="1" applyAlignment="1">
      <alignment horizontal="center" vertical="center"/>
    </xf>
    <xf numFmtId="164" fontId="11" fillId="5" borderId="7" xfId="0" applyNumberFormat="1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vertical="center"/>
    </xf>
    <xf numFmtId="164" fontId="24" fillId="4" borderId="12" xfId="0" applyNumberFormat="1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vertical="center"/>
    </xf>
    <xf numFmtId="14" fontId="24" fillId="4" borderId="7" xfId="0" applyNumberFormat="1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left" vertical="center" indent="1"/>
    </xf>
    <xf numFmtId="0" fontId="25" fillId="4" borderId="7" xfId="0" applyFont="1" applyFill="1" applyBorder="1" applyAlignment="1">
      <alignment vertical="center"/>
    </xf>
    <xf numFmtId="0" fontId="24" fillId="0" borderId="7" xfId="0" applyFont="1" applyFill="1" applyBorder="1" applyAlignment="1">
      <alignment vertical="center"/>
    </xf>
    <xf numFmtId="49" fontId="14" fillId="4" borderId="7" xfId="0" applyNumberFormat="1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10" fontId="14" fillId="4" borderId="7" xfId="0" applyNumberFormat="1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/>
    </xf>
    <xf numFmtId="164" fontId="10" fillId="4" borderId="13" xfId="0" applyNumberFormat="1" applyFont="1" applyFill="1" applyBorder="1" applyAlignment="1">
      <alignment horizontal="center" vertical="center"/>
    </xf>
    <xf numFmtId="164" fontId="10" fillId="5" borderId="13" xfId="0" applyNumberFormat="1" applyFont="1" applyFill="1" applyBorder="1" applyAlignment="1">
      <alignment horizontal="center" vertical="center"/>
    </xf>
    <xf numFmtId="164" fontId="24" fillId="5" borderId="12" xfId="0" applyNumberFormat="1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vertical="center"/>
    </xf>
    <xf numFmtId="14" fontId="24" fillId="5" borderId="7" xfId="0" applyNumberFormat="1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 indent="1"/>
    </xf>
    <xf numFmtId="0" fontId="25" fillId="5" borderId="7" xfId="0" applyFont="1" applyFill="1" applyBorder="1" applyAlignment="1">
      <alignment vertical="center"/>
    </xf>
    <xf numFmtId="49" fontId="14" fillId="5" borderId="7" xfId="0" applyNumberFormat="1" applyFont="1" applyFill="1" applyBorder="1" applyAlignment="1">
      <alignment horizontal="center" vertical="center"/>
    </xf>
    <xf numFmtId="164" fontId="14" fillId="5" borderId="7" xfId="0" applyNumberFormat="1" applyFont="1" applyFill="1" applyBorder="1" applyAlignment="1">
      <alignment horizontal="center"/>
    </xf>
    <xf numFmtId="164" fontId="10" fillId="8" borderId="0" xfId="0" applyNumberFormat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vertical="center"/>
    </xf>
    <xf numFmtId="0" fontId="12" fillId="3" borderId="19" xfId="0" applyFont="1" applyFill="1" applyBorder="1" applyAlignment="1" applyProtection="1">
      <alignment horizontal="center" vertical="center" wrapText="1"/>
      <protection locked="0"/>
    </xf>
    <xf numFmtId="169" fontId="12" fillId="5" borderId="19" xfId="3" applyNumberFormat="1" applyFont="1" applyFill="1" applyBorder="1" applyAlignment="1">
      <alignment horizontal="center" vertical="center"/>
    </xf>
    <xf numFmtId="169" fontId="12" fillId="5" borderId="19" xfId="3" applyNumberFormat="1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center" vertical="center"/>
    </xf>
    <xf numFmtId="164" fontId="11" fillId="5" borderId="19" xfId="0" applyNumberFormat="1" applyFont="1" applyFill="1" applyBorder="1" applyAlignment="1">
      <alignment horizontal="center" vertical="center"/>
    </xf>
    <xf numFmtId="164" fontId="24" fillId="5" borderId="19" xfId="0" applyNumberFormat="1" applyFont="1" applyFill="1" applyBorder="1" applyAlignment="1">
      <alignment horizontal="center" vertical="center"/>
    </xf>
    <xf numFmtId="164" fontId="11" fillId="6" borderId="20" xfId="0" applyNumberFormat="1" applyFont="1" applyFill="1" applyBorder="1" applyAlignment="1">
      <alignment horizontal="center" vertical="center"/>
    </xf>
    <xf numFmtId="164" fontId="11" fillId="6" borderId="19" xfId="0" applyNumberFormat="1" applyFont="1" applyFill="1" applyBorder="1" applyAlignment="1">
      <alignment horizontal="center" vertical="center"/>
    </xf>
    <xf numFmtId="164" fontId="11" fillId="6" borderId="21" xfId="0" applyNumberFormat="1" applyFont="1" applyFill="1" applyBorder="1" applyAlignment="1">
      <alignment horizontal="center" vertical="center"/>
    </xf>
    <xf numFmtId="164" fontId="11" fillId="7" borderId="20" xfId="0" applyNumberFormat="1" applyFont="1" applyFill="1" applyBorder="1" applyAlignment="1">
      <alignment horizontal="center" vertical="center"/>
    </xf>
    <xf numFmtId="164" fontId="11" fillId="7" borderId="19" xfId="0" applyNumberFormat="1" applyFont="1" applyFill="1" applyBorder="1" applyAlignment="1">
      <alignment horizontal="center" vertical="center"/>
    </xf>
    <xf numFmtId="164" fontId="11" fillId="7" borderId="21" xfId="0" applyNumberFormat="1" applyFont="1" applyFill="1" applyBorder="1" applyAlignment="1">
      <alignment horizontal="center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14" fillId="5" borderId="19" xfId="0" applyNumberFormat="1" applyFont="1" applyFill="1" applyBorder="1" applyAlignment="1">
      <alignment horizontal="center" vertical="center"/>
    </xf>
    <xf numFmtId="164" fontId="25" fillId="4" borderId="19" xfId="0" applyNumberFormat="1" applyFont="1" applyFill="1" applyBorder="1" applyAlignment="1">
      <alignment horizontal="center" vertical="center"/>
    </xf>
    <xf numFmtId="164" fontId="14" fillId="4" borderId="19" xfId="0" applyNumberFormat="1" applyFont="1" applyFill="1" applyBorder="1" applyAlignment="1">
      <alignment horizontal="center" vertical="center"/>
    </xf>
    <xf numFmtId="164" fontId="14" fillId="5" borderId="21" xfId="0" applyNumberFormat="1" applyFont="1" applyFill="1" applyBorder="1" applyAlignment="1">
      <alignment horizontal="center"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2" fillId="4" borderId="18" xfId="0" applyNumberFormat="1" applyFont="1" applyFill="1" applyBorder="1" applyAlignment="1">
      <alignment horizontal="center" vertical="center"/>
    </xf>
    <xf numFmtId="164" fontId="10" fillId="5" borderId="20" xfId="0" applyNumberFormat="1" applyFont="1" applyFill="1" applyBorder="1" applyAlignment="1">
      <alignment horizontal="center" vertical="center"/>
    </xf>
    <xf numFmtId="164" fontId="25" fillId="5" borderId="19" xfId="0" applyNumberFormat="1" applyFont="1" applyFill="1" applyBorder="1" applyAlignment="1">
      <alignment horizontal="center" vertical="center"/>
    </xf>
    <xf numFmtId="164" fontId="14" fillId="4" borderId="22" xfId="0" applyNumberFormat="1" applyFont="1" applyFill="1" applyBorder="1" applyAlignment="1">
      <alignment horizontal="center" vertical="center"/>
    </xf>
    <xf numFmtId="164" fontId="11" fillId="5" borderId="21" xfId="0" applyNumberFormat="1" applyFont="1" applyFill="1" applyBorder="1" applyAlignment="1">
      <alignment horizontal="center" vertical="center"/>
    </xf>
    <xf numFmtId="164" fontId="10" fillId="5" borderId="19" xfId="0" applyNumberFormat="1" applyFont="1" applyFill="1" applyBorder="1" applyAlignment="1">
      <alignment horizontal="center" vertical="center"/>
    </xf>
    <xf numFmtId="164" fontId="24" fillId="0" borderId="21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24" fillId="5" borderId="21" xfId="0" applyNumberFormat="1" applyFont="1" applyFill="1" applyBorder="1" applyAlignment="1">
      <alignment horizontal="center" vertical="center"/>
    </xf>
    <xf numFmtId="164" fontId="14" fillId="5" borderId="21" xfId="0" applyNumberFormat="1" applyFont="1" applyFill="1" applyBorder="1" applyAlignment="1">
      <alignment horizontal="center"/>
    </xf>
    <xf numFmtId="14" fontId="10" fillId="8" borderId="0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Alignment="1">
      <alignment horizontal="left"/>
    </xf>
    <xf numFmtId="164" fontId="24" fillId="5" borderId="0" xfId="0" applyNumberFormat="1" applyFont="1" applyFill="1" applyBorder="1" applyAlignment="1">
      <alignment horizontal="left" vertical="center"/>
    </xf>
    <xf numFmtId="0" fontId="0" fillId="0" borderId="3" xfId="0" applyBorder="1"/>
    <xf numFmtId="0" fontId="0" fillId="10" borderId="0" xfId="0" applyFill="1"/>
    <xf numFmtId="164" fontId="12" fillId="10" borderId="0" xfId="0" applyNumberFormat="1" applyFont="1" applyFill="1" applyAlignment="1">
      <alignment horizontal="left" vertical="center"/>
    </xf>
    <xf numFmtId="169" fontId="12" fillId="10" borderId="0" xfId="3" applyNumberFormat="1" applyFont="1" applyFill="1" applyBorder="1" applyAlignment="1">
      <alignment horizontal="center"/>
    </xf>
    <xf numFmtId="169" fontId="12" fillId="8" borderId="0" xfId="3" applyNumberFormat="1" applyFont="1" applyFill="1" applyBorder="1" applyAlignment="1">
      <alignment horizontal="center"/>
    </xf>
    <xf numFmtId="169" fontId="12" fillId="5" borderId="0" xfId="3" applyNumberFormat="1" applyFont="1" applyFill="1" applyBorder="1" applyAlignment="1">
      <alignment horizontal="center"/>
    </xf>
    <xf numFmtId="169" fontId="12" fillId="5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4" fontId="10" fillId="0" borderId="19" xfId="0" applyNumberFormat="1" applyFont="1" applyFill="1" applyBorder="1" applyAlignment="1">
      <alignment horizontal="center" vertical="center"/>
    </xf>
    <xf numFmtId="43" fontId="10" fillId="0" borderId="0" xfId="3" applyFont="1" applyFill="1" applyBorder="1" applyAlignment="1">
      <alignment horizontal="center" vertical="center"/>
    </xf>
    <xf numFmtId="43" fontId="10" fillId="5" borderId="0" xfId="3" applyFont="1" applyFill="1" applyBorder="1" applyAlignment="1">
      <alignment horizontal="center" vertical="center"/>
    </xf>
    <xf numFmtId="43" fontId="24" fillId="5" borderId="0" xfId="3" applyFont="1" applyFill="1" applyBorder="1" applyAlignment="1">
      <alignment horizontal="center" vertical="center"/>
    </xf>
    <xf numFmtId="43" fontId="10" fillId="6" borderId="6" xfId="3" applyFont="1" applyFill="1" applyBorder="1" applyAlignment="1">
      <alignment horizontal="center" vertical="center"/>
    </xf>
    <xf numFmtId="43" fontId="10" fillId="6" borderId="0" xfId="3" applyFont="1" applyFill="1" applyBorder="1" applyAlignment="1">
      <alignment horizontal="center" vertical="center"/>
    </xf>
    <xf numFmtId="43" fontId="10" fillId="6" borderId="7" xfId="3" applyFont="1" applyFill="1" applyBorder="1" applyAlignment="1">
      <alignment horizontal="center" vertical="center"/>
    </xf>
    <xf numFmtId="43" fontId="10" fillId="7" borderId="6" xfId="3" applyFont="1" applyFill="1" applyBorder="1" applyAlignment="1">
      <alignment horizontal="center" vertical="center"/>
    </xf>
    <xf numFmtId="43" fontId="10" fillId="7" borderId="0" xfId="3" applyFont="1" applyFill="1" applyBorder="1" applyAlignment="1">
      <alignment horizontal="center" vertical="center"/>
    </xf>
    <xf numFmtId="43" fontId="10" fillId="7" borderId="7" xfId="3" applyFont="1" applyFill="1" applyBorder="1" applyAlignment="1">
      <alignment horizontal="center" vertical="center"/>
    </xf>
    <xf numFmtId="43" fontId="10" fillId="4" borderId="6" xfId="3" applyFont="1" applyFill="1" applyBorder="1" applyAlignment="1">
      <alignment horizontal="center" vertical="center"/>
    </xf>
    <xf numFmtId="43" fontId="14" fillId="5" borderId="0" xfId="3" applyFont="1" applyFill="1" applyBorder="1" applyAlignment="1">
      <alignment horizontal="center" vertical="center"/>
    </xf>
    <xf numFmtId="43" fontId="25" fillId="4" borderId="0" xfId="3" applyFont="1" applyFill="1" applyBorder="1" applyAlignment="1">
      <alignment horizontal="center" vertical="center"/>
    </xf>
    <xf numFmtId="43" fontId="14" fillId="4" borderId="0" xfId="3" applyFont="1" applyFill="1" applyBorder="1" applyAlignment="1">
      <alignment horizontal="center" vertical="center"/>
    </xf>
    <xf numFmtId="43" fontId="14" fillId="5" borderId="7" xfId="3" applyFont="1" applyFill="1" applyBorder="1" applyAlignment="1">
      <alignment horizontal="center" vertical="center"/>
    </xf>
    <xf numFmtId="43" fontId="10" fillId="4" borderId="0" xfId="3" applyFont="1" applyFill="1" applyBorder="1" applyAlignment="1">
      <alignment horizontal="center" vertical="center"/>
    </xf>
    <xf numFmtId="43" fontId="10" fillId="4" borderId="14" xfId="3" applyFont="1" applyFill="1" applyBorder="1" applyAlignment="1">
      <alignment horizontal="center" vertical="center"/>
    </xf>
    <xf numFmtId="43" fontId="12" fillId="5" borderId="0" xfId="3" applyFont="1" applyFill="1" applyBorder="1" applyAlignment="1">
      <alignment horizontal="center" vertical="center"/>
    </xf>
    <xf numFmtId="43" fontId="12" fillId="5" borderId="0" xfId="3" applyFont="1" applyFill="1" applyBorder="1" applyAlignment="1">
      <alignment horizontal="center"/>
    </xf>
    <xf numFmtId="43" fontId="10" fillId="5" borderId="6" xfId="3" applyFont="1" applyFill="1" applyBorder="1" applyAlignment="1">
      <alignment horizontal="center" vertical="center"/>
    </xf>
    <xf numFmtId="43" fontId="14" fillId="4" borderId="15" xfId="3" applyFont="1" applyFill="1" applyBorder="1" applyAlignment="1">
      <alignment horizontal="center" vertical="center"/>
    </xf>
    <xf numFmtId="43" fontId="10" fillId="5" borderId="7" xfId="3" applyFont="1" applyFill="1" applyBorder="1" applyAlignment="1">
      <alignment horizontal="center" vertical="center"/>
    </xf>
    <xf numFmtId="43" fontId="14" fillId="4" borderId="7" xfId="3" applyFont="1" applyFill="1" applyBorder="1" applyAlignment="1">
      <alignment horizontal="center" vertical="center"/>
    </xf>
    <xf numFmtId="43" fontId="31" fillId="5" borderId="0" xfId="3" applyFont="1" applyFill="1" applyBorder="1" applyAlignment="1">
      <alignment horizontal="center" vertical="center"/>
    </xf>
    <xf numFmtId="43" fontId="31" fillId="5" borderId="0" xfId="3" applyFont="1" applyFill="1" applyBorder="1" applyAlignment="1">
      <alignment horizontal="center"/>
    </xf>
    <xf numFmtId="174" fontId="32" fillId="0" borderId="0" xfId="0" applyNumberFormat="1" applyFont="1" applyBorder="1"/>
    <xf numFmtId="43" fontId="12" fillId="0" borderId="0" xfId="3" applyFont="1" applyBorder="1" applyAlignment="1">
      <alignment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vertical="center"/>
    </xf>
    <xf numFmtId="14" fontId="12" fillId="5" borderId="3" xfId="0" applyNumberFormat="1" applyFont="1" applyFill="1" applyBorder="1" applyAlignment="1">
      <alignment horizontal="center" vertical="center"/>
    </xf>
    <xf numFmtId="166" fontId="12" fillId="5" borderId="3" xfId="0" applyNumberFormat="1" applyFont="1" applyFill="1" applyBorder="1" applyAlignment="1">
      <alignment horizontal="center" vertical="center"/>
    </xf>
    <xf numFmtId="167" fontId="12" fillId="5" borderId="3" xfId="0" applyNumberFormat="1" applyFont="1" applyFill="1" applyBorder="1" applyAlignment="1">
      <alignment horizontal="center" vertical="center"/>
    </xf>
    <xf numFmtId="0" fontId="12" fillId="5" borderId="3" xfId="0" quotePrefix="1" applyFont="1" applyFill="1" applyBorder="1" applyAlignment="1">
      <alignment horizontal="center" vertical="center"/>
    </xf>
    <xf numFmtId="10" fontId="21" fillId="5" borderId="3" xfId="0" applyNumberFormat="1" applyFont="1" applyFill="1" applyBorder="1" applyAlignment="1">
      <alignment horizontal="center" vertical="center"/>
    </xf>
    <xf numFmtId="43" fontId="12" fillId="5" borderId="3" xfId="3" applyFont="1" applyFill="1" applyBorder="1" applyAlignment="1">
      <alignment horizontal="center" vertical="center"/>
    </xf>
    <xf numFmtId="169" fontId="12" fillId="5" borderId="23" xfId="3" applyNumberFormat="1" applyFont="1" applyFill="1" applyBorder="1" applyAlignment="1">
      <alignment horizontal="center" vertical="center"/>
    </xf>
    <xf numFmtId="175" fontId="12" fillId="0" borderId="0" xfId="0" applyNumberFormat="1" applyFont="1" applyBorder="1" applyAlignment="1">
      <alignment vertical="center"/>
    </xf>
    <xf numFmtId="0" fontId="10" fillId="5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vertical="center"/>
    </xf>
    <xf numFmtId="14" fontId="10" fillId="4" borderId="7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 indent="1"/>
    </xf>
    <xf numFmtId="0" fontId="14" fillId="4" borderId="7" xfId="0" applyFont="1" applyFill="1" applyBorder="1" applyAlignment="1">
      <alignment vertical="center"/>
    </xf>
    <xf numFmtId="164" fontId="14" fillId="4" borderId="13" xfId="0" applyNumberFormat="1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14" fontId="11" fillId="4" borderId="0" xfId="0" applyNumberFormat="1" applyFont="1" applyFill="1" applyBorder="1" applyAlignment="1">
      <alignment horizontal="center" vertical="center"/>
    </xf>
    <xf numFmtId="14" fontId="11" fillId="5" borderId="0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14" fontId="11" fillId="5" borderId="7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14" fontId="11" fillId="5" borderId="0" xfId="0" applyNumberFormat="1" applyFont="1" applyFill="1" applyAlignment="1">
      <alignment horizontal="center" vertical="center"/>
    </xf>
    <xf numFmtId="14" fontId="11" fillId="4" borderId="14" xfId="0" applyNumberFormat="1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0" fillId="4" borderId="0" xfId="0" applyFill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0" fontId="12" fillId="4" borderId="0" xfId="0" applyFont="1" applyFill="1" applyAlignment="1"/>
    <xf numFmtId="164" fontId="11" fillId="4" borderId="0" xfId="0" applyNumberFormat="1" applyFont="1" applyFill="1" applyAlignment="1">
      <alignment vertical="center"/>
    </xf>
    <xf numFmtId="169" fontId="33" fillId="10" borderId="0" xfId="3" applyNumberFormat="1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Border="1" applyAlignment="1">
      <alignment horizontal="right"/>
    </xf>
    <xf numFmtId="165" fontId="27" fillId="0" borderId="0" xfId="17" applyFont="1"/>
    <xf numFmtId="0" fontId="34" fillId="0" borderId="0" xfId="0" applyFont="1"/>
    <xf numFmtId="165" fontId="34" fillId="0" borderId="0" xfId="0" applyNumberFormat="1" applyFont="1"/>
    <xf numFmtId="4" fontId="34" fillId="0" borderId="0" xfId="0" applyNumberFormat="1" applyFont="1" applyBorder="1"/>
    <xf numFmtId="4" fontId="34" fillId="0" borderId="3" xfId="0" applyNumberFormat="1" applyFont="1" applyBorder="1"/>
    <xf numFmtId="165" fontId="27" fillId="0" borderId="25" xfId="17" applyFont="1" applyBorder="1"/>
    <xf numFmtId="165" fontId="0" fillId="0" borderId="26" xfId="0" applyNumberFormat="1" applyBorder="1"/>
    <xf numFmtId="0" fontId="27" fillId="0" borderId="25" xfId="0" applyFont="1" applyBorder="1"/>
    <xf numFmtId="4" fontId="0" fillId="0" borderId="26" xfId="0" applyNumberFormat="1" applyBorder="1"/>
    <xf numFmtId="0" fontId="0" fillId="0" borderId="26" xfId="0" applyBorder="1"/>
    <xf numFmtId="4" fontId="0" fillId="0" borderId="24" xfId="0" applyNumberFormat="1" applyBorder="1"/>
    <xf numFmtId="165" fontId="34" fillId="0" borderId="3" xfId="0" applyNumberFormat="1" applyFont="1" applyBorder="1"/>
    <xf numFmtId="164" fontId="14" fillId="4" borderId="8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164" fontId="10" fillId="0" borderId="0" xfId="0" applyNumberFormat="1" applyFont="1" applyFill="1" applyAlignment="1">
      <alignment vertical="center"/>
    </xf>
    <xf numFmtId="49" fontId="14" fillId="4" borderId="0" xfId="0" applyNumberFormat="1" applyFont="1" applyFill="1" applyBorder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7" borderId="6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4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10" fontId="29" fillId="5" borderId="0" xfId="0" applyNumberFormat="1" applyFont="1" applyFill="1" applyBorder="1" applyAlignment="1">
      <alignment horizontal="center" vertical="center"/>
    </xf>
    <xf numFmtId="43" fontId="10" fillId="0" borderId="3" xfId="3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</cellXfs>
  <cellStyles count="18">
    <cellStyle name="Comma" xfId="3" builtinId="3"/>
    <cellStyle name="Currency" xfId="17" builtinId="4"/>
    <cellStyle name="Moeda 2" xfId="6" xr:uid="{4BC1FADD-D0E0-4965-839B-3C44A5D8E431}"/>
    <cellStyle name="Moeda 2 2" xfId="13" xr:uid="{4BC1FADD-D0E0-4965-839B-3C44A5D8E431}"/>
    <cellStyle name="Normal" xfId="0" builtinId="0"/>
    <cellStyle name="Normal 10" xfId="1" xr:uid="{00000000-0005-0000-0000-000002000000}"/>
    <cellStyle name="Normal 10 2" xfId="9" xr:uid="{00000000-0005-0000-0000-000002000000}"/>
    <cellStyle name="Normal 2" xfId="5" xr:uid="{946970D5-CD5D-4638-9F0E-B08B0F382ECE}"/>
    <cellStyle name="Normal 2 2" xfId="12" xr:uid="{946970D5-CD5D-4638-9F0E-B08B0F382ECE}"/>
    <cellStyle name="Normal 3" xfId="16" xr:uid="{00000000-0005-0000-0000-00003C000000}"/>
    <cellStyle name="Percent" xfId="4" builtinId="5"/>
    <cellStyle name="Porcentagem 2" xfId="8" xr:uid="{E6381CDF-1D77-4292-B0F5-1260E47D1CA5}"/>
    <cellStyle name="Porcentagem 2 2" xfId="15" xr:uid="{E6381CDF-1D77-4292-B0F5-1260E47D1CA5}"/>
    <cellStyle name="Porcentagem 3" xfId="2" xr:uid="{00000000-0005-0000-0000-000003000000}"/>
    <cellStyle name="Porcentagem 3 2" xfId="10" xr:uid="{00000000-0005-0000-0000-000003000000}"/>
    <cellStyle name="Vírgula 2" xfId="7" xr:uid="{33AB6E0E-1BC1-4BFB-B5F8-80393737E4AB}"/>
    <cellStyle name="Vírgula 2 2" xfId="14" xr:uid="{33AB6E0E-1BC1-4BFB-B5F8-80393737E4AB}"/>
    <cellStyle name="Vírgula 3" xfId="11" xr:uid="{00000000-0005-0000-0000-00003A000000}"/>
  </cellStyles>
  <dxfs count="0"/>
  <tableStyles count="0" defaultTableStyle="TableStyleMedium2" defaultPivotStyle="PivotStyleLight16"/>
  <colors>
    <mruColors>
      <color rgb="FFFFF6DD"/>
      <color rgb="FFFBE4D5"/>
      <color rgb="FFC6DCF0"/>
      <color rgb="FFA6C9E8"/>
      <color rgb="FF79ADDD"/>
      <color rgb="FFFFD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72278</xdr:colOff>
      <xdr:row>2</xdr:row>
      <xdr:rowOff>142875</xdr:rowOff>
    </xdr:to>
    <xdr:pic>
      <xdr:nvPicPr>
        <xdr:cNvPr id="4" name="Imagem 3" descr="Uma imagem contendo clip-art&#10;&#10;Descrição gerada automaticamente">
          <a:extLst>
            <a:ext uri="{FF2B5EF4-FFF2-40B4-BE49-F238E27FC236}">
              <a16:creationId xmlns:a16="http://schemas.microsoft.com/office/drawing/2014/main" id="{3E9AE70F-4554-4254-B905-F16E29E310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4" y="156882"/>
          <a:ext cx="2089336" cy="501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C16"/>
  <sheetViews>
    <sheetView showGridLines="0" workbookViewId="0">
      <selection activeCell="C6" sqref="C6"/>
    </sheetView>
  </sheetViews>
  <sheetFormatPr defaultColWidth="9" defaultRowHeight="14.25" x14ac:dyDescent="0.2"/>
  <cols>
    <col min="1" max="1" width="9" style="1"/>
    <col min="2" max="2" width="18.875" style="1" customWidth="1"/>
    <col min="3" max="3" width="13" style="1" customWidth="1"/>
    <col min="4" max="16384" width="9" style="1"/>
  </cols>
  <sheetData>
    <row r="3" spans="2:3" ht="15" thickBot="1" x14ac:dyDescent="0.25">
      <c r="B3" s="2" t="s">
        <v>22</v>
      </c>
      <c r="C3" s="2"/>
    </row>
    <row r="4" spans="2:3" ht="15" x14ac:dyDescent="0.2">
      <c r="B4" s="3" t="s">
        <v>11</v>
      </c>
      <c r="C4" s="3" t="s">
        <v>12</v>
      </c>
    </row>
    <row r="5" spans="2:3" x14ac:dyDescent="0.2">
      <c r="B5" s="4" t="s">
        <v>13</v>
      </c>
      <c r="C5" s="5">
        <v>1.4999999999999999E-2</v>
      </c>
    </row>
    <row r="6" spans="2:3" x14ac:dyDescent="0.2">
      <c r="B6" s="4" t="s">
        <v>14</v>
      </c>
      <c r="C6" s="5">
        <v>0.01</v>
      </c>
    </row>
    <row r="7" spans="2:3" x14ac:dyDescent="0.2">
      <c r="B7" s="4" t="s">
        <v>15</v>
      </c>
      <c r="C7" s="5">
        <v>6.4999999999999997E-3</v>
      </c>
    </row>
    <row r="8" spans="2:3" x14ac:dyDescent="0.2">
      <c r="B8" s="4" t="s">
        <v>16</v>
      </c>
      <c r="C8" s="5">
        <v>0.03</v>
      </c>
    </row>
    <row r="9" spans="2:3" ht="15.75" thickBot="1" x14ac:dyDescent="0.25">
      <c r="B9" s="6" t="s">
        <v>17</v>
      </c>
      <c r="C9" s="7">
        <f>SUM(C5:C8)</f>
        <v>6.1499999999999999E-2</v>
      </c>
    </row>
    <row r="10" spans="2:3" ht="15" x14ac:dyDescent="0.2">
      <c r="B10" s="3" t="s">
        <v>18</v>
      </c>
      <c r="C10" s="3" t="s">
        <v>12</v>
      </c>
    </row>
    <row r="11" spans="2:3" x14ac:dyDescent="0.2">
      <c r="B11" s="4" t="s">
        <v>19</v>
      </c>
      <c r="C11" s="5">
        <v>0.05</v>
      </c>
    </row>
    <row r="12" spans="2:3" x14ac:dyDescent="0.2">
      <c r="B12" s="4" t="s">
        <v>20</v>
      </c>
      <c r="C12" s="5">
        <v>3.3000000000000002E-2</v>
      </c>
    </row>
    <row r="13" spans="2:3" x14ac:dyDescent="0.2">
      <c r="B13" s="4" t="s">
        <v>21</v>
      </c>
      <c r="C13" s="5">
        <v>1.8800000000000001E-2</v>
      </c>
    </row>
    <row r="14" spans="2:3" ht="15.75" thickBot="1" x14ac:dyDescent="0.25">
      <c r="B14" s="6" t="s">
        <v>17</v>
      </c>
      <c r="C14" s="7">
        <f>SUM(C11:C13)</f>
        <v>0.1018</v>
      </c>
    </row>
    <row r="15" spans="2:3" ht="15" x14ac:dyDescent="0.2">
      <c r="B15" s="3" t="s">
        <v>10</v>
      </c>
      <c r="C15" s="3"/>
    </row>
    <row r="16" spans="2:3" ht="15" x14ac:dyDescent="0.2">
      <c r="B16" s="8">
        <f>C9+C14</f>
        <v>0.1633</v>
      </c>
      <c r="C16" s="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B274"/>
  <sheetViews>
    <sheetView showGridLines="0" tabSelected="1" zoomScale="85" zoomScaleNormal="85" zoomScaleSheetLayoutView="90" workbookViewId="0">
      <pane ySplit="6" topLeftCell="A211" activePane="bottomLeft" state="frozen"/>
      <selection pane="bottomLeft" activeCell="H249" sqref="H249:T257"/>
    </sheetView>
  </sheetViews>
  <sheetFormatPr defaultColWidth="9" defaultRowHeight="12" customHeight="1" x14ac:dyDescent="0.2"/>
  <cols>
    <col min="1" max="1" width="3.125" style="155" customWidth="1"/>
    <col min="2" max="2" width="17.875" style="11" customWidth="1"/>
    <col min="3" max="3" width="8.5" style="11" bestFit="1" customWidth="1"/>
    <col min="4" max="4" width="11.625" style="11" customWidth="1"/>
    <col min="5" max="5" width="10.375" style="11" bestFit="1" customWidth="1"/>
    <col min="6" max="6" width="10.125" style="11" customWidth="1"/>
    <col min="7" max="7" width="12.5" style="11" customWidth="1"/>
    <col min="8" max="8" width="30.25" style="11" customWidth="1"/>
    <col min="9" max="9" width="23.375" style="11" customWidth="1"/>
    <col min="10" max="10" width="15.375" style="11" customWidth="1"/>
    <col min="11" max="11" width="6.375" style="11" customWidth="1"/>
    <col min="12" max="12" width="15.625" style="11" customWidth="1"/>
    <col min="13" max="13" width="8.375" style="11" customWidth="1"/>
    <col min="14" max="14" width="8" style="11" customWidth="1"/>
    <col min="15" max="15" width="15.625" style="11" customWidth="1"/>
    <col min="16" max="16" width="7.625" style="14" customWidth="1"/>
    <col min="17" max="17" width="12.25" style="14" customWidth="1"/>
    <col min="18" max="18" width="9.375" style="14" customWidth="1"/>
    <col min="19" max="19" width="9.25" style="14" customWidth="1"/>
    <col min="20" max="20" width="16.375" style="14" customWidth="1"/>
    <col min="21" max="21" width="51.25" style="11" customWidth="1"/>
    <col min="22" max="22" width="0.875" style="389" customWidth="1"/>
    <col min="23" max="23" width="16.125" style="11" bestFit="1" customWidth="1"/>
    <col min="24" max="24" width="12.625" style="11" bestFit="1" customWidth="1"/>
    <col min="25" max="25" width="11" style="11" bestFit="1" customWidth="1"/>
    <col min="26" max="26" width="9.75" style="11" bestFit="1" customWidth="1"/>
    <col min="27" max="27" width="9" style="11" customWidth="1"/>
    <col min="28" max="28" width="10.25" style="11" customWidth="1"/>
    <col min="29" max="16384" width="9" style="11"/>
  </cols>
  <sheetData>
    <row r="2" spans="1:23" ht="28.5" customHeight="1" x14ac:dyDescent="0.2">
      <c r="D2" s="421" t="s">
        <v>105</v>
      </c>
      <c r="E2" s="421"/>
      <c r="F2" s="421"/>
      <c r="G2" s="421"/>
      <c r="H2" s="421"/>
      <c r="J2" s="12"/>
      <c r="O2" s="13"/>
      <c r="P2" s="13"/>
      <c r="Q2" s="13"/>
      <c r="R2" s="13"/>
      <c r="S2" s="13"/>
      <c r="T2" s="13"/>
    </row>
    <row r="3" spans="1:23" s="15" customFormat="1" ht="12" customHeight="1" x14ac:dyDescent="0.2">
      <c r="A3" s="156"/>
      <c r="D3" s="421"/>
      <c r="E3" s="421"/>
      <c r="F3" s="421"/>
      <c r="G3" s="421"/>
      <c r="H3" s="421"/>
      <c r="L3" s="18"/>
      <c r="M3" s="18"/>
      <c r="O3" s="432" t="s">
        <v>169</v>
      </c>
      <c r="P3" s="432"/>
      <c r="Q3" s="432"/>
      <c r="V3" s="59"/>
    </row>
    <row r="4" spans="1:23" s="15" customFormat="1" ht="12" customHeight="1" x14ac:dyDescent="0.2">
      <c r="A4" s="156"/>
      <c r="H4" s="17"/>
      <c r="I4" s="20"/>
      <c r="J4" s="21"/>
      <c r="K4" s="21"/>
      <c r="L4" s="22"/>
      <c r="N4" s="19"/>
      <c r="O4" s="13"/>
      <c r="P4" s="13"/>
      <c r="Q4" s="13"/>
      <c r="R4" s="13"/>
      <c r="S4" s="13"/>
      <c r="V4" s="59"/>
    </row>
    <row r="5" spans="1:23" s="15" customFormat="1" ht="15.75" customHeight="1" x14ac:dyDescent="0.2">
      <c r="A5" s="156"/>
      <c r="B5" s="290"/>
      <c r="C5" s="290"/>
      <c r="D5" s="290"/>
      <c r="E5" s="290"/>
      <c r="F5" s="290"/>
      <c r="G5" s="290"/>
      <c r="H5" s="290"/>
      <c r="I5" s="290" t="s">
        <v>23</v>
      </c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59"/>
    </row>
    <row r="6" spans="1:23" s="15" customFormat="1" ht="39" customHeight="1" x14ac:dyDescent="0.2">
      <c r="A6" s="156"/>
      <c r="B6" s="16" t="s">
        <v>75</v>
      </c>
      <c r="C6" s="16" t="s">
        <v>0</v>
      </c>
      <c r="D6" s="164" t="s">
        <v>103</v>
      </c>
      <c r="E6" s="16" t="s">
        <v>100</v>
      </c>
      <c r="F6" s="16" t="s">
        <v>133</v>
      </c>
      <c r="G6" s="16" t="s">
        <v>47</v>
      </c>
      <c r="H6" s="24" t="s">
        <v>1</v>
      </c>
      <c r="I6" s="24" t="s">
        <v>2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43</v>
      </c>
      <c r="P6" s="16" t="s">
        <v>42</v>
      </c>
      <c r="Q6" s="16" t="s">
        <v>41</v>
      </c>
      <c r="R6" s="16" t="s">
        <v>45</v>
      </c>
      <c r="S6" s="16" t="s">
        <v>44</v>
      </c>
      <c r="T6" s="291" t="s">
        <v>102</v>
      </c>
      <c r="U6" s="16" t="s">
        <v>74</v>
      </c>
      <c r="V6" s="59"/>
    </row>
    <row r="7" spans="1:23" s="116" customFormat="1" ht="12" customHeight="1" x14ac:dyDescent="0.2">
      <c r="A7" s="157"/>
      <c r="B7" s="60" t="s">
        <v>101</v>
      </c>
      <c r="C7" s="61" t="s">
        <v>107</v>
      </c>
      <c r="D7" s="61"/>
      <c r="E7" s="62">
        <v>43434</v>
      </c>
      <c r="F7" s="63">
        <v>1000</v>
      </c>
      <c r="G7" s="64">
        <v>1000</v>
      </c>
      <c r="H7" s="65" t="s">
        <v>101</v>
      </c>
      <c r="I7" s="65"/>
      <c r="J7" s="65"/>
      <c r="K7" s="66"/>
      <c r="L7" s="66"/>
      <c r="M7" s="67"/>
      <c r="N7" s="66"/>
      <c r="O7" s="60"/>
      <c r="P7" s="68"/>
      <c r="Q7" s="69"/>
      <c r="R7" s="68"/>
      <c r="S7" s="70"/>
      <c r="T7" s="292">
        <f>F7*G7</f>
        <v>1000000</v>
      </c>
      <c r="U7" s="60"/>
      <c r="V7" s="390"/>
      <c r="W7" s="128"/>
    </row>
    <row r="8" spans="1:23" s="129" customFormat="1" ht="12" customHeight="1" x14ac:dyDescent="0.2">
      <c r="A8" s="158"/>
      <c r="B8" s="133" t="s">
        <v>101</v>
      </c>
      <c r="C8" s="134" t="s">
        <v>106</v>
      </c>
      <c r="D8" s="134"/>
      <c r="E8" s="136">
        <v>43434</v>
      </c>
      <c r="F8" s="137">
        <v>1000</v>
      </c>
      <c r="G8" s="138">
        <v>5000</v>
      </c>
      <c r="H8" s="65" t="s">
        <v>101</v>
      </c>
      <c r="I8" s="139"/>
      <c r="J8" s="139"/>
      <c r="K8" s="140"/>
      <c r="L8" s="140"/>
      <c r="M8" s="141"/>
      <c r="N8" s="140"/>
      <c r="O8" s="133"/>
      <c r="P8" s="142"/>
      <c r="Q8" s="143"/>
      <c r="R8" s="142"/>
      <c r="S8" s="144"/>
      <c r="T8" s="293">
        <f>F8*G8</f>
        <v>5000000</v>
      </c>
      <c r="U8" s="133"/>
      <c r="V8" s="391"/>
      <c r="W8" s="130"/>
    </row>
    <row r="9" spans="1:23" s="129" customFormat="1" ht="12" customHeight="1" x14ac:dyDescent="0.2">
      <c r="A9" s="158"/>
      <c r="B9" s="133" t="s">
        <v>101</v>
      </c>
      <c r="C9" s="134" t="s">
        <v>116</v>
      </c>
      <c r="D9" s="134"/>
      <c r="E9" s="136">
        <v>43434</v>
      </c>
      <c r="F9" s="137"/>
      <c r="G9" s="138"/>
      <c r="H9" s="139" t="s">
        <v>117</v>
      </c>
      <c r="I9" s="139"/>
      <c r="J9" s="139"/>
      <c r="K9" s="140"/>
      <c r="L9" s="140"/>
      <c r="M9" s="141"/>
      <c r="N9" s="140"/>
      <c r="O9" s="133"/>
      <c r="P9" s="142"/>
      <c r="Q9" s="143"/>
      <c r="R9" s="142"/>
      <c r="S9" s="144"/>
      <c r="T9" s="293">
        <f>SUM(T7:T8)</f>
        <v>6000000</v>
      </c>
      <c r="U9" s="133"/>
      <c r="V9" s="391"/>
      <c r="W9" s="130"/>
    </row>
    <row r="10" spans="1:23" s="23" customFormat="1" ht="12" customHeight="1" x14ac:dyDescent="0.2">
      <c r="A10" s="159"/>
      <c r="B10" s="44" t="s">
        <v>76</v>
      </c>
      <c r="D10" s="83">
        <v>43437</v>
      </c>
      <c r="E10" s="43">
        <v>43434</v>
      </c>
      <c r="H10" s="25" t="s">
        <v>8</v>
      </c>
      <c r="I10" s="38" t="s">
        <v>58</v>
      </c>
      <c r="J10" s="25" t="s">
        <v>52</v>
      </c>
      <c r="K10" s="42">
        <v>341</v>
      </c>
      <c r="L10" s="41" t="s">
        <v>62</v>
      </c>
      <c r="M10" s="40" t="s">
        <v>55</v>
      </c>
      <c r="N10" s="42" t="s">
        <v>53</v>
      </c>
      <c r="O10" s="44">
        <f>T9*0.5%</f>
        <v>30000</v>
      </c>
      <c r="P10" s="39">
        <v>0.1115</v>
      </c>
      <c r="Q10" s="27">
        <f>O10/(1-P10)</f>
        <v>33764.772087788406</v>
      </c>
      <c r="R10" s="39">
        <v>6.1499999999999999E-2</v>
      </c>
      <c r="S10" s="331">
        <f>R10*Q10</f>
        <v>2076.5334833989868</v>
      </c>
      <c r="T10" s="294">
        <f t="shared" ref="T10:T21" si="0">Q10*(1-R10)</f>
        <v>31688.238604389418</v>
      </c>
      <c r="U10" s="26"/>
      <c r="V10" s="59"/>
      <c r="W10" s="30"/>
    </row>
    <row r="11" spans="1:23" s="23" customFormat="1" ht="12" customHeight="1" x14ac:dyDescent="0.2">
      <c r="A11" s="159"/>
      <c r="B11" s="181" t="s">
        <v>76</v>
      </c>
      <c r="C11" s="182"/>
      <c r="D11" s="183">
        <v>43437</v>
      </c>
      <c r="E11" s="183">
        <v>43434</v>
      </c>
      <c r="F11" s="182"/>
      <c r="G11" s="182"/>
      <c r="H11" s="182" t="s">
        <v>60</v>
      </c>
      <c r="I11" s="184" t="s">
        <v>58</v>
      </c>
      <c r="J11" s="182" t="s">
        <v>52</v>
      </c>
      <c r="K11" s="185">
        <v>341</v>
      </c>
      <c r="L11" s="186" t="s">
        <v>62</v>
      </c>
      <c r="M11" s="187" t="s">
        <v>55</v>
      </c>
      <c r="N11" s="185" t="s">
        <v>53</v>
      </c>
      <c r="O11" s="181">
        <f>(T9*2.2%)</f>
        <v>132000</v>
      </c>
      <c r="P11" s="188">
        <v>0.1115</v>
      </c>
      <c r="Q11" s="189">
        <f>O11/(1-P11)-Q13</f>
        <v>133564.997186269</v>
      </c>
      <c r="R11" s="188">
        <v>6.1499999999999999E-2</v>
      </c>
      <c r="S11" s="332">
        <f>R11*Q11</f>
        <v>8214.247326955543</v>
      </c>
      <c r="T11" s="295">
        <f t="shared" si="0"/>
        <v>125350.74985931345</v>
      </c>
      <c r="U11" s="189"/>
      <c r="V11" s="59"/>
      <c r="W11" s="30"/>
    </row>
    <row r="12" spans="1:23" s="23" customFormat="1" ht="12" customHeight="1" x14ac:dyDescent="0.2">
      <c r="A12" s="159"/>
      <c r="B12" s="58" t="s">
        <v>76</v>
      </c>
      <c r="C12" s="25"/>
      <c r="D12" s="83">
        <v>43437</v>
      </c>
      <c r="E12" s="83">
        <v>43434</v>
      </c>
      <c r="F12" s="25"/>
      <c r="G12" s="25"/>
      <c r="H12" s="38" t="s">
        <v>122</v>
      </c>
      <c r="I12" s="38" t="s">
        <v>58</v>
      </c>
      <c r="J12" s="25" t="s">
        <v>52</v>
      </c>
      <c r="K12" s="42">
        <v>341</v>
      </c>
      <c r="L12" s="41" t="s">
        <v>62</v>
      </c>
      <c r="M12" s="40" t="s">
        <v>55</v>
      </c>
      <c r="N12" s="42" t="s">
        <v>53</v>
      </c>
      <c r="O12" s="58">
        <f>0.9%*T9</f>
        <v>54000.000000000007</v>
      </c>
      <c r="P12" s="39">
        <v>0.1115</v>
      </c>
      <c r="Q12" s="27">
        <f>O12/(1-P12)</f>
        <v>60776.589758019145</v>
      </c>
      <c r="R12" s="39">
        <v>6.1499999999999999E-2</v>
      </c>
      <c r="S12" s="331">
        <f>R12*Q12</f>
        <v>3737.7602701181772</v>
      </c>
      <c r="T12" s="294">
        <f t="shared" ref="T12" si="1">Q12*(1-R12)</f>
        <v>57038.82948790097</v>
      </c>
      <c r="U12" s="27"/>
      <c r="V12" s="59"/>
      <c r="W12" s="30"/>
    </row>
    <row r="13" spans="1:23" s="23" customFormat="1" ht="12" customHeight="1" x14ac:dyDescent="0.2">
      <c r="A13" s="160">
        <v>5</v>
      </c>
      <c r="B13" s="191" t="s">
        <v>78</v>
      </c>
      <c r="C13" s="192"/>
      <c r="D13" s="193"/>
      <c r="E13" s="193">
        <v>43434</v>
      </c>
      <c r="F13" s="192"/>
      <c r="G13" s="192"/>
      <c r="H13" s="192" t="s">
        <v>108</v>
      </c>
      <c r="I13" s="192" t="s">
        <v>118</v>
      </c>
      <c r="J13" s="192" t="s">
        <v>131</v>
      </c>
      <c r="K13" s="194"/>
      <c r="L13" s="194"/>
      <c r="M13" s="195"/>
      <c r="N13" s="194"/>
      <c r="O13" s="191"/>
      <c r="P13" s="196"/>
      <c r="Q13" s="191">
        <f>0.25%*T9</f>
        <v>15000</v>
      </c>
      <c r="R13" s="196">
        <v>6.1499999999999999E-2</v>
      </c>
      <c r="S13" s="333">
        <f>R13*Q13</f>
        <v>922.5</v>
      </c>
      <c r="T13" s="296">
        <f t="shared" si="0"/>
        <v>14077.5</v>
      </c>
      <c r="U13" s="179" t="s">
        <v>152</v>
      </c>
      <c r="V13" s="180"/>
      <c r="W13" s="417"/>
    </row>
    <row r="14" spans="1:23" s="15" customFormat="1" ht="12" customHeight="1" x14ac:dyDescent="0.2">
      <c r="A14" s="160">
        <v>1</v>
      </c>
      <c r="B14" s="84" t="s">
        <v>76</v>
      </c>
      <c r="C14" s="71"/>
      <c r="D14" s="73">
        <v>43437</v>
      </c>
      <c r="E14" s="73">
        <v>43434</v>
      </c>
      <c r="F14" s="72"/>
      <c r="G14" s="72"/>
      <c r="H14" s="71" t="s">
        <v>48</v>
      </c>
      <c r="I14" s="78" t="s">
        <v>80</v>
      </c>
      <c r="J14" s="71" t="s">
        <v>64</v>
      </c>
      <c r="K14" s="85" t="s">
        <v>65</v>
      </c>
      <c r="L14" s="85" t="s">
        <v>68</v>
      </c>
      <c r="M14" s="86" t="s">
        <v>66</v>
      </c>
      <c r="N14" s="85" t="s">
        <v>67</v>
      </c>
      <c r="O14" s="87">
        <v>19712.310000000001</v>
      </c>
      <c r="P14" s="88">
        <v>0</v>
      </c>
      <c r="Q14" s="87">
        <f>O14/(1-P14)</f>
        <v>19712.310000000001</v>
      </c>
      <c r="R14" s="88">
        <v>6.1499999999999999E-2</v>
      </c>
      <c r="S14" s="334">
        <f>+R14*Q14</f>
        <v>1212.307065</v>
      </c>
      <c r="T14" s="297">
        <f t="shared" si="0"/>
        <v>18500.002935</v>
      </c>
      <c r="U14" s="113"/>
      <c r="V14" s="59"/>
      <c r="W14" s="132"/>
    </row>
    <row r="15" spans="1:23" s="15" customFormat="1" ht="11.25" customHeight="1" x14ac:dyDescent="0.2">
      <c r="A15" s="160">
        <v>2</v>
      </c>
      <c r="B15" s="89" t="s">
        <v>76</v>
      </c>
      <c r="C15" s="45"/>
      <c r="D15" s="80">
        <v>43441</v>
      </c>
      <c r="E15" s="80">
        <v>43434</v>
      </c>
      <c r="F15" s="79"/>
      <c r="G15" s="79"/>
      <c r="H15" s="46" t="s">
        <v>96</v>
      </c>
      <c r="I15" s="46" t="s">
        <v>97</v>
      </c>
      <c r="J15" s="45" t="s">
        <v>70</v>
      </c>
      <c r="K15" s="47">
        <v>341</v>
      </c>
      <c r="L15" s="47" t="s">
        <v>62</v>
      </c>
      <c r="M15" s="48" t="s">
        <v>98</v>
      </c>
      <c r="N15" s="51" t="s">
        <v>99</v>
      </c>
      <c r="O15" s="49">
        <v>60000</v>
      </c>
      <c r="P15" s="50">
        <v>0</v>
      </c>
      <c r="Q15" s="49">
        <f>O15/(1-P15)</f>
        <v>60000</v>
      </c>
      <c r="R15" s="50">
        <v>0</v>
      </c>
      <c r="S15" s="335">
        <f t="shared" ref="S15:S25" si="2">+R15*Q15</f>
        <v>0</v>
      </c>
      <c r="T15" s="298">
        <f t="shared" si="0"/>
        <v>60000</v>
      </c>
      <c r="U15" s="114"/>
      <c r="V15" s="59"/>
      <c r="W15" s="28"/>
    </row>
    <row r="16" spans="1:23" s="15" customFormat="1" ht="11.25" customHeight="1" x14ac:dyDescent="0.2">
      <c r="A16" s="160">
        <v>7</v>
      </c>
      <c r="B16" s="89" t="s">
        <v>76</v>
      </c>
      <c r="C16" s="45"/>
      <c r="D16" s="80">
        <v>43446</v>
      </c>
      <c r="E16" s="80">
        <v>43434</v>
      </c>
      <c r="F16" s="79"/>
      <c r="G16" s="79"/>
      <c r="H16" s="46" t="s">
        <v>81</v>
      </c>
      <c r="I16" s="46" t="s">
        <v>82</v>
      </c>
      <c r="J16" s="45" t="s">
        <v>83</v>
      </c>
      <c r="K16" s="47" t="s">
        <v>84</v>
      </c>
      <c r="L16" s="47" t="s">
        <v>85</v>
      </c>
      <c r="M16" s="48" t="s">
        <v>86</v>
      </c>
      <c r="N16" s="47" t="s">
        <v>87</v>
      </c>
      <c r="O16" s="49">
        <f>4000*2</f>
        <v>8000</v>
      </c>
      <c r="P16" s="50">
        <v>0</v>
      </c>
      <c r="Q16" s="49">
        <f>O16/(1-P16)</f>
        <v>8000</v>
      </c>
      <c r="R16" s="50">
        <v>0</v>
      </c>
      <c r="S16" s="335">
        <f t="shared" ref="S16" si="3">+R16*Q16</f>
        <v>0</v>
      </c>
      <c r="T16" s="298">
        <f t="shared" si="0"/>
        <v>8000</v>
      </c>
      <c r="U16" s="115" t="s">
        <v>119</v>
      </c>
      <c r="V16" s="59"/>
      <c r="W16" s="28"/>
    </row>
    <row r="17" spans="1:23" s="15" customFormat="1" ht="12" customHeight="1" x14ac:dyDescent="0.2">
      <c r="A17" s="160">
        <v>3</v>
      </c>
      <c r="B17" s="89" t="s">
        <v>76</v>
      </c>
      <c r="C17" s="45"/>
      <c r="D17" s="80">
        <v>43438</v>
      </c>
      <c r="E17" s="80">
        <v>43434</v>
      </c>
      <c r="F17" s="79"/>
      <c r="G17" s="79"/>
      <c r="H17" s="46" t="s">
        <v>91</v>
      </c>
      <c r="I17" s="46" t="s">
        <v>94</v>
      </c>
      <c r="J17" s="46" t="s">
        <v>95</v>
      </c>
      <c r="K17" s="47">
        <v>756</v>
      </c>
      <c r="L17" s="51" t="s">
        <v>123</v>
      </c>
      <c r="M17" s="48" t="s">
        <v>92</v>
      </c>
      <c r="N17" s="51" t="s">
        <v>93</v>
      </c>
      <c r="O17" s="49">
        <v>147540</v>
      </c>
      <c r="P17" s="50">
        <v>0.1115</v>
      </c>
      <c r="Q17" s="49">
        <f>O17/(1-P17)</f>
        <v>166055.14912774338</v>
      </c>
      <c r="R17" s="50">
        <v>6.1499999999999999E-2</v>
      </c>
      <c r="S17" s="335">
        <f>R17*Q17</f>
        <v>10212.391671356218</v>
      </c>
      <c r="T17" s="298">
        <f t="shared" si="0"/>
        <v>155842.75745638716</v>
      </c>
      <c r="U17" s="115" t="s">
        <v>119</v>
      </c>
      <c r="V17" s="59"/>
      <c r="W17" s="28"/>
    </row>
    <row r="18" spans="1:23" s="15" customFormat="1" ht="12" customHeight="1" x14ac:dyDescent="0.2">
      <c r="A18" s="160">
        <v>3</v>
      </c>
      <c r="B18" s="89" t="s">
        <v>76</v>
      </c>
      <c r="C18" s="45"/>
      <c r="D18" s="80">
        <v>43438</v>
      </c>
      <c r="E18" s="80">
        <v>43434</v>
      </c>
      <c r="F18" s="79"/>
      <c r="G18" s="79"/>
      <c r="H18" s="46" t="s">
        <v>90</v>
      </c>
      <c r="I18" s="46" t="s">
        <v>94</v>
      </c>
      <c r="J18" s="46" t="s">
        <v>95</v>
      </c>
      <c r="K18" s="47">
        <v>756</v>
      </c>
      <c r="L18" s="51" t="s">
        <v>124</v>
      </c>
      <c r="M18" s="48" t="s">
        <v>92</v>
      </c>
      <c r="N18" s="51" t="s">
        <v>93</v>
      </c>
      <c r="O18" s="49">
        <v>38000</v>
      </c>
      <c r="P18" s="50">
        <v>0.1115</v>
      </c>
      <c r="Q18" s="49">
        <f t="shared" ref="Q18" si="4">O18/(1-P18)</f>
        <v>42768.711311198655</v>
      </c>
      <c r="R18" s="50">
        <v>6.1499999999999999E-2</v>
      </c>
      <c r="S18" s="335">
        <f>R18*Q18</f>
        <v>2630.2757456387171</v>
      </c>
      <c r="T18" s="298">
        <f t="shared" si="0"/>
        <v>40138.435565559936</v>
      </c>
      <c r="U18" s="115" t="s">
        <v>119</v>
      </c>
      <c r="V18" s="59"/>
      <c r="W18" s="28"/>
    </row>
    <row r="19" spans="1:23" s="15" customFormat="1" ht="12" customHeight="1" x14ac:dyDescent="0.2">
      <c r="A19" s="160">
        <v>4</v>
      </c>
      <c r="B19" s="89" t="s">
        <v>76</v>
      </c>
      <c r="C19" s="45"/>
      <c r="D19" s="80">
        <v>43441</v>
      </c>
      <c r="E19" s="80">
        <v>43434</v>
      </c>
      <c r="F19" s="79"/>
      <c r="G19" s="79"/>
      <c r="H19" s="45" t="s">
        <v>9</v>
      </c>
      <c r="I19" s="46" t="s">
        <v>71</v>
      </c>
      <c r="J19" s="45" t="s">
        <v>72</v>
      </c>
      <c r="K19" s="47">
        <v>237</v>
      </c>
      <c r="L19" s="47" t="s">
        <v>69</v>
      </c>
      <c r="M19" s="48">
        <v>3391</v>
      </c>
      <c r="N19" s="47" t="s">
        <v>73</v>
      </c>
      <c r="O19" s="49">
        <v>12000</v>
      </c>
      <c r="P19" s="50">
        <v>0.1633</v>
      </c>
      <c r="Q19" s="49">
        <f t="shared" ref="Q19:Q21" si="5">O19/(1-P19)</f>
        <v>14342.058085335246</v>
      </c>
      <c r="R19" s="50">
        <v>6.1499999999999999E-2</v>
      </c>
      <c r="S19" s="335">
        <f t="shared" si="2"/>
        <v>882.03657224811764</v>
      </c>
      <c r="T19" s="298">
        <f t="shared" si="0"/>
        <v>13460.021513087127</v>
      </c>
      <c r="U19" s="115" t="s">
        <v>119</v>
      </c>
      <c r="V19" s="392"/>
      <c r="W19" s="28"/>
    </row>
    <row r="20" spans="1:23" s="15" customFormat="1" ht="12" customHeight="1" x14ac:dyDescent="0.2">
      <c r="A20" s="160">
        <v>4</v>
      </c>
      <c r="B20" s="89" t="s">
        <v>76</v>
      </c>
      <c r="C20" s="45"/>
      <c r="D20" s="80">
        <v>43441</v>
      </c>
      <c r="E20" s="80">
        <v>43434</v>
      </c>
      <c r="F20" s="79"/>
      <c r="G20" s="79"/>
      <c r="H20" s="45" t="s">
        <v>38</v>
      </c>
      <c r="I20" s="46" t="s">
        <v>71</v>
      </c>
      <c r="J20" s="45" t="s">
        <v>72</v>
      </c>
      <c r="K20" s="47">
        <v>237</v>
      </c>
      <c r="L20" s="51" t="s">
        <v>69</v>
      </c>
      <c r="M20" s="48">
        <v>3391</v>
      </c>
      <c r="N20" s="47" t="s">
        <v>73</v>
      </c>
      <c r="O20" s="49">
        <v>3000</v>
      </c>
      <c r="P20" s="50">
        <v>0.1633</v>
      </c>
      <c r="Q20" s="49">
        <f t="shared" si="5"/>
        <v>3585.5145213338114</v>
      </c>
      <c r="R20" s="50">
        <v>6.1499999999999999E-2</v>
      </c>
      <c r="S20" s="335">
        <f t="shared" si="2"/>
        <v>220.50914306202941</v>
      </c>
      <c r="T20" s="298">
        <f t="shared" si="0"/>
        <v>3365.0053782717819</v>
      </c>
      <c r="U20" s="115" t="s">
        <v>119</v>
      </c>
      <c r="V20" s="392"/>
      <c r="W20" s="28"/>
    </row>
    <row r="21" spans="1:23" s="23" customFormat="1" ht="12" customHeight="1" x14ac:dyDescent="0.2">
      <c r="A21" s="160">
        <v>4</v>
      </c>
      <c r="B21" s="90" t="s">
        <v>76</v>
      </c>
      <c r="C21" s="77"/>
      <c r="D21" s="80">
        <v>43441</v>
      </c>
      <c r="E21" s="76">
        <v>43434</v>
      </c>
      <c r="F21" s="75"/>
      <c r="G21" s="75"/>
      <c r="H21" s="77" t="s">
        <v>39</v>
      </c>
      <c r="I21" s="91" t="s">
        <v>71</v>
      </c>
      <c r="J21" s="77" t="s">
        <v>72</v>
      </c>
      <c r="K21" s="92">
        <v>237</v>
      </c>
      <c r="L21" s="92" t="s">
        <v>69</v>
      </c>
      <c r="M21" s="93">
        <v>3391</v>
      </c>
      <c r="N21" s="127" t="s">
        <v>73</v>
      </c>
      <c r="O21" s="94">
        <v>45740</v>
      </c>
      <c r="P21" s="95">
        <v>0.1633</v>
      </c>
      <c r="Q21" s="94">
        <f t="shared" si="5"/>
        <v>54667.14473526951</v>
      </c>
      <c r="R21" s="95">
        <v>6.1499999999999999E-2</v>
      </c>
      <c r="S21" s="336">
        <f t="shared" si="2"/>
        <v>3362.0294012190748</v>
      </c>
      <c r="T21" s="299">
        <f t="shared" si="0"/>
        <v>51305.115334050439</v>
      </c>
      <c r="U21" s="115" t="s">
        <v>119</v>
      </c>
      <c r="V21" s="59"/>
    </row>
    <row r="22" spans="1:23" s="15" customFormat="1" ht="12" customHeight="1" x14ac:dyDescent="0.2">
      <c r="A22" s="161"/>
      <c r="B22" s="96" t="s">
        <v>78</v>
      </c>
      <c r="C22" s="74"/>
      <c r="D22" s="97"/>
      <c r="E22" s="97">
        <v>43434</v>
      </c>
      <c r="F22" s="74"/>
      <c r="G22" s="74"/>
      <c r="H22" s="98" t="s">
        <v>49</v>
      </c>
      <c r="I22" s="99" t="s">
        <v>26</v>
      </c>
      <c r="J22" s="98" t="s">
        <v>29</v>
      </c>
      <c r="K22" s="424"/>
      <c r="L22" s="424"/>
      <c r="M22" s="424"/>
      <c r="N22" s="424"/>
      <c r="O22" s="100"/>
      <c r="P22" s="101"/>
      <c r="Q22" s="100"/>
      <c r="R22" s="101"/>
      <c r="S22" s="337">
        <f t="shared" si="2"/>
        <v>0</v>
      </c>
      <c r="T22" s="300">
        <v>6058</v>
      </c>
      <c r="U22" s="110"/>
      <c r="V22" s="59"/>
    </row>
    <row r="23" spans="1:23" s="15" customFormat="1" ht="12" customHeight="1" x14ac:dyDescent="0.2">
      <c r="A23" s="161"/>
      <c r="B23" s="102" t="s">
        <v>78</v>
      </c>
      <c r="C23" s="81"/>
      <c r="D23" s="82"/>
      <c r="E23" s="82">
        <v>43434</v>
      </c>
      <c r="F23" s="81"/>
      <c r="G23" s="81"/>
      <c r="H23" s="52" t="s">
        <v>50</v>
      </c>
      <c r="I23" s="53" t="s">
        <v>26</v>
      </c>
      <c r="J23" s="52" t="s">
        <v>29</v>
      </c>
      <c r="K23" s="425"/>
      <c r="L23" s="425"/>
      <c r="M23" s="425"/>
      <c r="N23" s="425"/>
      <c r="O23" s="54"/>
      <c r="P23" s="55"/>
      <c r="Q23" s="54"/>
      <c r="R23" s="55"/>
      <c r="S23" s="338">
        <f t="shared" si="2"/>
        <v>0</v>
      </c>
      <c r="T23" s="301">
        <v>1515</v>
      </c>
      <c r="U23" s="111"/>
      <c r="V23" s="59"/>
    </row>
    <row r="24" spans="1:23" s="15" customFormat="1" ht="12" customHeight="1" x14ac:dyDescent="0.2">
      <c r="A24" s="161"/>
      <c r="B24" s="102" t="s">
        <v>78</v>
      </c>
      <c r="C24" s="81"/>
      <c r="D24" s="82"/>
      <c r="E24" s="82">
        <v>43434</v>
      </c>
      <c r="F24" s="81"/>
      <c r="G24" s="81"/>
      <c r="H24" s="52" t="s">
        <v>51</v>
      </c>
      <c r="I24" s="53" t="s">
        <v>26</v>
      </c>
      <c r="J24" s="52" t="s">
        <v>29</v>
      </c>
      <c r="K24" s="425"/>
      <c r="L24" s="425"/>
      <c r="M24" s="425"/>
      <c r="N24" s="425"/>
      <c r="O24" s="54"/>
      <c r="P24" s="55"/>
      <c r="Q24" s="54"/>
      <c r="R24" s="55"/>
      <c r="S24" s="338">
        <f t="shared" si="2"/>
        <v>0</v>
      </c>
      <c r="T24" s="301">
        <v>20680</v>
      </c>
      <c r="U24" s="111"/>
      <c r="V24" s="59"/>
    </row>
    <row r="25" spans="1:23" s="15" customFormat="1" ht="12" customHeight="1" x14ac:dyDescent="0.2">
      <c r="A25" s="161"/>
      <c r="B25" s="103" t="s">
        <v>78</v>
      </c>
      <c r="C25" s="104"/>
      <c r="D25" s="105"/>
      <c r="E25" s="105">
        <v>43434</v>
      </c>
      <c r="F25" s="104"/>
      <c r="G25" s="104"/>
      <c r="H25" s="106" t="s">
        <v>54</v>
      </c>
      <c r="I25" s="107" t="s">
        <v>26</v>
      </c>
      <c r="J25" s="106" t="s">
        <v>29</v>
      </c>
      <c r="K25" s="426"/>
      <c r="L25" s="426"/>
      <c r="M25" s="426"/>
      <c r="N25" s="426"/>
      <c r="O25" s="108"/>
      <c r="P25" s="109"/>
      <c r="Q25" s="108"/>
      <c r="R25" s="109"/>
      <c r="S25" s="339">
        <f t="shared" si="2"/>
        <v>0</v>
      </c>
      <c r="T25" s="302">
        <v>2527</v>
      </c>
      <c r="U25" s="112"/>
      <c r="V25" s="59"/>
    </row>
    <row r="26" spans="1:23" s="15" customFormat="1" ht="12" customHeight="1" x14ac:dyDescent="0.2">
      <c r="A26" s="156"/>
      <c r="B26" s="231"/>
      <c r="C26" s="228"/>
      <c r="D26" s="369"/>
      <c r="E26" s="229"/>
      <c r="F26" s="228"/>
      <c r="G26" s="228"/>
      <c r="H26" s="229" t="s">
        <v>40</v>
      </c>
      <c r="I26" s="229" t="s">
        <v>26</v>
      </c>
      <c r="J26" s="229" t="s">
        <v>29</v>
      </c>
      <c r="K26" s="427"/>
      <c r="L26" s="427"/>
      <c r="M26" s="427"/>
      <c r="N26" s="427"/>
      <c r="O26" s="227"/>
      <c r="P26" s="230"/>
      <c r="Q26" s="227"/>
      <c r="R26" s="230"/>
      <c r="S26" s="340"/>
      <c r="T26" s="303">
        <f>SUM(T27:T31)</f>
        <v>33470.590678996865</v>
      </c>
      <c r="U26" s="232"/>
      <c r="V26" s="392"/>
    </row>
    <row r="27" spans="1:23" s="23" customFormat="1" ht="12" customHeight="1" x14ac:dyDescent="0.2">
      <c r="A27" s="156"/>
      <c r="B27" s="233" t="s">
        <v>77</v>
      </c>
      <c r="C27" s="182"/>
      <c r="D27" s="185"/>
      <c r="E27" s="183">
        <v>43434</v>
      </c>
      <c r="F27" s="182"/>
      <c r="G27" s="182"/>
      <c r="H27" s="198" t="s">
        <v>59</v>
      </c>
      <c r="I27" s="199" t="s">
        <v>58</v>
      </c>
      <c r="J27" s="199" t="s">
        <v>52</v>
      </c>
      <c r="K27" s="428"/>
      <c r="L27" s="428"/>
      <c r="M27" s="428"/>
      <c r="N27" s="428"/>
      <c r="O27" s="200"/>
      <c r="P27" s="188"/>
      <c r="Q27" s="201"/>
      <c r="R27" s="188"/>
      <c r="S27" s="341"/>
      <c r="T27" s="304">
        <f>SUMIF($J$10:$J$25,J27,$S$10:$S$26)</f>
        <v>14028.541080472707</v>
      </c>
      <c r="U27" s="234"/>
      <c r="V27" s="392"/>
    </row>
    <row r="28" spans="1:23" s="23" customFormat="1" ht="12" customHeight="1" x14ac:dyDescent="0.2">
      <c r="A28" s="156"/>
      <c r="B28" s="235" t="s">
        <v>77</v>
      </c>
      <c r="C28" s="166"/>
      <c r="D28" s="376"/>
      <c r="E28" s="167">
        <v>43434</v>
      </c>
      <c r="F28" s="166"/>
      <c r="G28" s="166"/>
      <c r="H28" s="168" t="s">
        <v>120</v>
      </c>
      <c r="I28" s="169" t="s">
        <v>118</v>
      </c>
      <c r="J28" s="154" t="s">
        <v>131</v>
      </c>
      <c r="K28" s="171"/>
      <c r="L28" s="171"/>
      <c r="M28" s="171"/>
      <c r="N28" s="171"/>
      <c r="O28" s="170"/>
      <c r="P28" s="172"/>
      <c r="Q28" s="173"/>
      <c r="R28" s="172"/>
      <c r="S28" s="342"/>
      <c r="T28" s="305">
        <f>SUMIF($J$10:$J$25,J28,$S$10:$S$25)</f>
        <v>922.5</v>
      </c>
      <c r="U28" s="236"/>
      <c r="V28" s="392"/>
    </row>
    <row r="29" spans="1:23" s="23" customFormat="1" ht="12" customHeight="1" x14ac:dyDescent="0.2">
      <c r="A29" s="156"/>
      <c r="B29" s="233" t="s">
        <v>77</v>
      </c>
      <c r="C29" s="182"/>
      <c r="D29" s="185"/>
      <c r="E29" s="183">
        <v>43434</v>
      </c>
      <c r="F29" s="182"/>
      <c r="G29" s="182"/>
      <c r="H29" s="198" t="s">
        <v>56</v>
      </c>
      <c r="I29" s="199" t="s">
        <v>63</v>
      </c>
      <c r="J29" s="199" t="s">
        <v>64</v>
      </c>
      <c r="K29" s="429"/>
      <c r="L29" s="429"/>
      <c r="M29" s="429"/>
      <c r="N29" s="429"/>
      <c r="O29" s="200"/>
      <c r="P29" s="188"/>
      <c r="Q29" s="200"/>
      <c r="R29" s="188"/>
      <c r="S29" s="341"/>
      <c r="T29" s="304">
        <f>SUMIF($J$10:$J$25,J29,$S$10:$S$25)</f>
        <v>1212.307065</v>
      </c>
      <c r="U29" s="234"/>
      <c r="V29" s="59"/>
    </row>
    <row r="30" spans="1:23" s="15" customFormat="1" ht="12" customHeight="1" x14ac:dyDescent="0.2">
      <c r="A30" s="156"/>
      <c r="B30" s="237" t="s">
        <v>77</v>
      </c>
      <c r="C30" s="56"/>
      <c r="D30" s="122"/>
      <c r="E30" s="145">
        <v>43434</v>
      </c>
      <c r="F30" s="56"/>
      <c r="G30" s="56"/>
      <c r="H30" s="146" t="s">
        <v>57</v>
      </c>
      <c r="I30" s="147" t="s">
        <v>94</v>
      </c>
      <c r="J30" s="147" t="s">
        <v>95</v>
      </c>
      <c r="K30" s="418"/>
      <c r="L30" s="418"/>
      <c r="M30" s="418"/>
      <c r="N30" s="418"/>
      <c r="O30" s="148"/>
      <c r="P30" s="125"/>
      <c r="Q30" s="149"/>
      <c r="R30" s="125"/>
      <c r="S30" s="343"/>
      <c r="T30" s="306">
        <f>SUMIF($J$10:$J$25,J30,$S$10:$S$26)</f>
        <v>12842.667416994935</v>
      </c>
      <c r="U30" s="236"/>
      <c r="V30" s="392"/>
    </row>
    <row r="31" spans="1:23" s="23" customFormat="1" ht="12" customHeight="1" x14ac:dyDescent="0.2">
      <c r="A31" s="156"/>
      <c r="B31" s="238" t="s">
        <v>77</v>
      </c>
      <c r="C31" s="239"/>
      <c r="D31" s="240"/>
      <c r="E31" s="240">
        <v>43434</v>
      </c>
      <c r="F31" s="239"/>
      <c r="G31" s="239"/>
      <c r="H31" s="241" t="s">
        <v>61</v>
      </c>
      <c r="I31" s="242" t="s">
        <v>71</v>
      </c>
      <c r="J31" s="242" t="s">
        <v>72</v>
      </c>
      <c r="K31" s="430"/>
      <c r="L31" s="430"/>
      <c r="M31" s="430"/>
      <c r="N31" s="430"/>
      <c r="O31" s="243"/>
      <c r="P31" s="244"/>
      <c r="Q31" s="243"/>
      <c r="R31" s="244"/>
      <c r="S31" s="344"/>
      <c r="T31" s="307">
        <f>SUMIF($J$10:$J$25,J31,$S$10:$S$26)</f>
        <v>4464.5751165292222</v>
      </c>
      <c r="U31" s="245"/>
      <c r="V31" s="392"/>
    </row>
    <row r="32" spans="1:23" s="23" customFormat="1" ht="12" customHeight="1" x14ac:dyDescent="0.2">
      <c r="A32" s="156"/>
      <c r="B32" s="126" t="s">
        <v>89</v>
      </c>
      <c r="C32" s="56"/>
      <c r="D32" s="319">
        <v>43437</v>
      </c>
      <c r="E32" s="145">
        <v>43434</v>
      </c>
      <c r="F32" s="56"/>
      <c r="G32" s="56"/>
      <c r="H32" s="147" t="s">
        <v>88</v>
      </c>
      <c r="I32" s="121" t="s">
        <v>26</v>
      </c>
      <c r="J32" s="121" t="s">
        <v>29</v>
      </c>
      <c r="K32" s="150"/>
      <c r="L32" s="150"/>
      <c r="M32" s="150"/>
      <c r="N32" s="150"/>
      <c r="O32" s="148"/>
      <c r="P32" s="125"/>
      <c r="Q32" s="148"/>
      <c r="R32" s="125"/>
      <c r="S32" s="343"/>
      <c r="T32" s="306">
        <v>17577.78</v>
      </c>
      <c r="U32" s="126" t="s">
        <v>121</v>
      </c>
      <c r="V32" s="392"/>
    </row>
    <row r="33" spans="1:24" s="15" customFormat="1" ht="12" customHeight="1" x14ac:dyDescent="0.2">
      <c r="A33" s="156"/>
      <c r="B33" s="202" t="s">
        <v>79</v>
      </c>
      <c r="C33" s="203"/>
      <c r="D33" s="183">
        <v>43441</v>
      </c>
      <c r="E33" s="204">
        <v>43434</v>
      </c>
      <c r="F33" s="203"/>
      <c r="G33" s="203"/>
      <c r="H33" s="182" t="s">
        <v>37</v>
      </c>
      <c r="I33" s="184" t="s">
        <v>26</v>
      </c>
      <c r="J33" s="182" t="s">
        <v>29</v>
      </c>
      <c r="K33" s="185">
        <v>341</v>
      </c>
      <c r="L33" s="186" t="s">
        <v>62</v>
      </c>
      <c r="M33" s="187" t="s">
        <v>55</v>
      </c>
      <c r="N33" s="187" t="s">
        <v>115</v>
      </c>
      <c r="O33" s="205"/>
      <c r="P33" s="188"/>
      <c r="Q33" s="189"/>
      <c r="R33" s="188"/>
      <c r="S33" s="332"/>
      <c r="T33" s="295">
        <f>53049.59+278609.69</f>
        <v>331659.28000000003</v>
      </c>
      <c r="U33" s="205"/>
      <c r="V33" s="59"/>
    </row>
    <row r="34" spans="1:24" s="118" customFormat="1" ht="24" x14ac:dyDescent="0.2">
      <c r="A34" s="162"/>
      <c r="B34" s="58" t="s">
        <v>76</v>
      </c>
      <c r="C34" s="117"/>
      <c r="D34" s="145">
        <v>43434</v>
      </c>
      <c r="E34" s="145">
        <v>43434</v>
      </c>
      <c r="F34" s="117"/>
      <c r="G34" s="117"/>
      <c r="H34" s="121" t="s">
        <v>109</v>
      </c>
      <c r="I34" s="121" t="s">
        <v>110</v>
      </c>
      <c r="J34" s="121" t="s">
        <v>111</v>
      </c>
      <c r="K34" s="122">
        <v>41</v>
      </c>
      <c r="L34" s="124" t="s">
        <v>112</v>
      </c>
      <c r="M34" s="123" t="s">
        <v>113</v>
      </c>
      <c r="N34" s="123" t="s">
        <v>114</v>
      </c>
      <c r="O34" s="57"/>
      <c r="P34" s="125"/>
      <c r="Q34" s="57"/>
      <c r="R34" s="125"/>
      <c r="S34" s="345"/>
      <c r="T34" s="308">
        <f>MIN(T9-SUM(T10:T26,T32:T33))</f>
        <v>5007745.6931870431</v>
      </c>
      <c r="U34" s="289" t="s">
        <v>154</v>
      </c>
      <c r="V34" s="388"/>
      <c r="W34" s="119"/>
      <c r="X34" s="120"/>
    </row>
    <row r="35" spans="1:24" s="118" customFormat="1" ht="12" customHeight="1" x14ac:dyDescent="0.2">
      <c r="A35" s="162"/>
      <c r="B35" s="206" t="s">
        <v>116</v>
      </c>
      <c r="C35" s="207"/>
      <c r="D35" s="206"/>
      <c r="E35" s="208"/>
      <c r="F35" s="207"/>
      <c r="G35" s="207"/>
      <c r="H35" s="209"/>
      <c r="I35" s="209"/>
      <c r="J35" s="209"/>
      <c r="K35" s="210"/>
      <c r="L35" s="208"/>
      <c r="M35" s="211"/>
      <c r="N35" s="211"/>
      <c r="O35" s="210"/>
      <c r="P35" s="212"/>
      <c r="Q35" s="210"/>
      <c r="R35" s="212"/>
      <c r="S35" s="346"/>
      <c r="T35" s="309">
        <f>T9-SUM(T10:T26)-T32-T33-T34</f>
        <v>0</v>
      </c>
      <c r="U35" s="224"/>
      <c r="V35" s="388"/>
      <c r="W35" s="119"/>
      <c r="X35" s="120"/>
    </row>
    <row r="36" spans="1:24" s="116" customFormat="1" ht="12" customHeight="1" x14ac:dyDescent="0.2">
      <c r="A36" s="157"/>
      <c r="B36" s="60" t="s">
        <v>101</v>
      </c>
      <c r="C36" s="61" t="s">
        <v>106</v>
      </c>
      <c r="D36" s="61"/>
      <c r="E36" s="62">
        <v>43439</v>
      </c>
      <c r="F36" s="63">
        <v>1002.5199734</v>
      </c>
      <c r="G36" s="64">
        <v>400</v>
      </c>
      <c r="H36" s="65" t="s">
        <v>101</v>
      </c>
      <c r="I36" s="65"/>
      <c r="J36" s="65"/>
      <c r="K36" s="66"/>
      <c r="L36" s="66"/>
      <c r="M36" s="67"/>
      <c r="N36" s="66"/>
      <c r="O36" s="60"/>
      <c r="P36" s="68"/>
      <c r="Q36" s="69"/>
      <c r="R36" s="68"/>
      <c r="S36" s="347"/>
      <c r="T36" s="292">
        <f>F36*G36</f>
        <v>401007.98936000001</v>
      </c>
      <c r="U36" s="60"/>
      <c r="V36" s="390"/>
      <c r="W36" s="128"/>
    </row>
    <row r="37" spans="1:24" s="129" customFormat="1" ht="12" customHeight="1" x14ac:dyDescent="0.2">
      <c r="A37" s="158"/>
      <c r="B37" s="133" t="s">
        <v>101</v>
      </c>
      <c r="C37" s="134" t="s">
        <v>116</v>
      </c>
      <c r="D37" s="134"/>
      <c r="E37" s="136">
        <v>43439</v>
      </c>
      <c r="F37" s="137"/>
      <c r="G37" s="138"/>
      <c r="H37" s="139" t="s">
        <v>117</v>
      </c>
      <c r="I37" s="139"/>
      <c r="J37" s="139"/>
      <c r="K37" s="140"/>
      <c r="L37" s="140"/>
      <c r="M37" s="141"/>
      <c r="N37" s="140"/>
      <c r="O37" s="133"/>
      <c r="P37" s="142"/>
      <c r="Q37" s="143"/>
      <c r="R37" s="142"/>
      <c r="S37" s="348"/>
      <c r="T37" s="293">
        <f>SUM(T36:T36)</f>
        <v>401007.98936000001</v>
      </c>
      <c r="U37" s="133"/>
      <c r="V37" s="391"/>
      <c r="W37" s="130"/>
    </row>
    <row r="38" spans="1:24" s="23" customFormat="1" ht="12" customHeight="1" x14ac:dyDescent="0.2">
      <c r="A38" s="159"/>
      <c r="B38" s="44" t="s">
        <v>76</v>
      </c>
      <c r="D38" s="377">
        <v>43440</v>
      </c>
      <c r="E38" s="43">
        <v>43439</v>
      </c>
      <c r="H38" s="25" t="s">
        <v>8</v>
      </c>
      <c r="I38" s="38" t="s">
        <v>58</v>
      </c>
      <c r="J38" s="25" t="s">
        <v>52</v>
      </c>
      <c r="K38" s="42">
        <v>341</v>
      </c>
      <c r="L38" s="41" t="s">
        <v>62</v>
      </c>
      <c r="M38" s="40" t="s">
        <v>55</v>
      </c>
      <c r="N38" s="42" t="s">
        <v>53</v>
      </c>
      <c r="O38" s="44">
        <f>T37*0.5%</f>
        <v>2005.0399468000001</v>
      </c>
      <c r="P38" s="39">
        <v>0.1115</v>
      </c>
      <c r="Q38" s="27">
        <f>O38/(1-P38)</f>
        <v>2256.6572276871134</v>
      </c>
      <c r="R38" s="39">
        <v>6.1499999999999999E-2</v>
      </c>
      <c r="S38" s="331">
        <f>R38*Q38</f>
        <v>138.78441950275746</v>
      </c>
      <c r="T38" s="294">
        <f t="shared" ref="T38:T40" si="6">Q38*(1-R38)</f>
        <v>2117.872808184356</v>
      </c>
      <c r="U38" s="26"/>
      <c r="V38" s="59"/>
      <c r="W38" s="30"/>
    </row>
    <row r="39" spans="1:24" s="23" customFormat="1" ht="12" customHeight="1" x14ac:dyDescent="0.2">
      <c r="A39" s="159"/>
      <c r="B39" s="181" t="s">
        <v>76</v>
      </c>
      <c r="C39" s="182"/>
      <c r="D39" s="378">
        <v>43440</v>
      </c>
      <c r="E39" s="183">
        <v>43439</v>
      </c>
      <c r="F39" s="182"/>
      <c r="G39" s="182"/>
      <c r="H39" s="182" t="s">
        <v>60</v>
      </c>
      <c r="I39" s="184" t="s">
        <v>58</v>
      </c>
      <c r="J39" s="182" t="s">
        <v>52</v>
      </c>
      <c r="K39" s="185">
        <v>341</v>
      </c>
      <c r="L39" s="186" t="s">
        <v>62</v>
      </c>
      <c r="M39" s="187" t="s">
        <v>55</v>
      </c>
      <c r="N39" s="185" t="s">
        <v>53</v>
      </c>
      <c r="O39" s="181">
        <f>(T37*2.2%)</f>
        <v>8822.1757659200011</v>
      </c>
      <c r="P39" s="188">
        <v>0.1115</v>
      </c>
      <c r="Q39" s="165">
        <f>O39/(1-P39)-Q41-4000</f>
        <v>4926.7718284232997</v>
      </c>
      <c r="R39" s="188">
        <v>6.1499999999999999E-2</v>
      </c>
      <c r="S39" s="332">
        <f>R39*Q39</f>
        <v>302.99646744803294</v>
      </c>
      <c r="T39" s="295">
        <f t="shared" si="6"/>
        <v>4623.7753609752672</v>
      </c>
      <c r="U39" s="213" t="s">
        <v>129</v>
      </c>
      <c r="V39" s="59"/>
      <c r="W39" s="30"/>
    </row>
    <row r="40" spans="1:24" s="23" customFormat="1" ht="12" customHeight="1" x14ac:dyDescent="0.2">
      <c r="A40" s="159"/>
      <c r="B40" s="58" t="s">
        <v>76</v>
      </c>
      <c r="C40" s="25"/>
      <c r="D40" s="377">
        <v>43440</v>
      </c>
      <c r="E40" s="83">
        <v>43439</v>
      </c>
      <c r="F40" s="25"/>
      <c r="G40" s="25"/>
      <c r="H40" s="38" t="s">
        <v>122</v>
      </c>
      <c r="I40" s="38" t="s">
        <v>58</v>
      </c>
      <c r="J40" s="25" t="s">
        <v>52</v>
      </c>
      <c r="K40" s="42">
        <v>341</v>
      </c>
      <c r="L40" s="41" t="s">
        <v>62</v>
      </c>
      <c r="M40" s="40" t="s">
        <v>55</v>
      </c>
      <c r="N40" s="42" t="s">
        <v>53</v>
      </c>
      <c r="O40" s="58">
        <f>0.9%*T37</f>
        <v>3609.0719042400005</v>
      </c>
      <c r="P40" s="39">
        <v>0.1115</v>
      </c>
      <c r="Q40" s="27">
        <f>O40/(1-P40)</f>
        <v>4061.9830098368043</v>
      </c>
      <c r="R40" s="39">
        <v>6.1499999999999999E-2</v>
      </c>
      <c r="S40" s="331">
        <f>R40*Q40</f>
        <v>249.81195510496346</v>
      </c>
      <c r="T40" s="294">
        <f t="shared" si="6"/>
        <v>3812.1710547318407</v>
      </c>
      <c r="U40" s="27"/>
      <c r="V40" s="59"/>
      <c r="W40" s="30"/>
    </row>
    <row r="41" spans="1:24" s="23" customFormat="1" ht="12" customHeight="1" x14ac:dyDescent="0.2">
      <c r="A41" s="159"/>
      <c r="B41" s="191" t="s">
        <v>78</v>
      </c>
      <c r="C41" s="192"/>
      <c r="D41" s="193"/>
      <c r="E41" s="193">
        <v>43439</v>
      </c>
      <c r="F41" s="192"/>
      <c r="G41" s="192"/>
      <c r="H41" s="192" t="s">
        <v>108</v>
      </c>
      <c r="I41" s="192" t="s">
        <v>118</v>
      </c>
      <c r="J41" s="192" t="s">
        <v>131</v>
      </c>
      <c r="K41" s="194"/>
      <c r="L41" s="194"/>
      <c r="M41" s="195"/>
      <c r="N41" s="194"/>
      <c r="O41" s="191"/>
      <c r="P41" s="196"/>
      <c r="Q41" s="191">
        <f>0.25%*T37</f>
        <v>1002.5199734</v>
      </c>
      <c r="R41" s="196">
        <v>6.1499999999999999E-2</v>
      </c>
      <c r="S41" s="333">
        <f>R41*Q41</f>
        <v>61.654978364100003</v>
      </c>
      <c r="T41" s="296">
        <f>Q41*(1-R41)</f>
        <v>940.86499503590005</v>
      </c>
      <c r="U41" s="213"/>
      <c r="V41" s="59"/>
      <c r="W41" s="30"/>
    </row>
    <row r="42" spans="1:24" s="23" customFormat="1" ht="12" customHeight="1" x14ac:dyDescent="0.2">
      <c r="A42" s="160">
        <v>6</v>
      </c>
      <c r="B42" s="58" t="s">
        <v>76</v>
      </c>
      <c r="C42" s="154"/>
      <c r="D42" s="83">
        <v>43440</v>
      </c>
      <c r="E42" s="83">
        <v>43439</v>
      </c>
      <c r="F42" s="154"/>
      <c r="G42" s="154"/>
      <c r="H42" s="38" t="s">
        <v>125</v>
      </c>
      <c r="I42" s="38" t="s">
        <v>126</v>
      </c>
      <c r="J42" s="38" t="s">
        <v>127</v>
      </c>
      <c r="K42" s="433" t="s">
        <v>128</v>
      </c>
      <c r="L42" s="433"/>
      <c r="M42" s="433"/>
      <c r="N42" s="433"/>
      <c r="O42" s="58">
        <v>21310.61</v>
      </c>
      <c r="P42" s="39">
        <v>0</v>
      </c>
      <c r="Q42" s="27">
        <f>O42/(1-P42)</f>
        <v>21310.61</v>
      </c>
      <c r="R42" s="39">
        <v>6.1499999999999999E-2</v>
      </c>
      <c r="S42" s="331">
        <f>R42*Q42</f>
        <v>1310.602515</v>
      </c>
      <c r="T42" s="294">
        <f>Q42*(1-R42)-0.01</f>
        <v>19999.997485000004</v>
      </c>
      <c r="U42" s="131"/>
      <c r="V42" s="59"/>
      <c r="W42" s="30"/>
    </row>
    <row r="43" spans="1:24" s="15" customFormat="1" ht="12" customHeight="1" x14ac:dyDescent="0.2">
      <c r="A43" s="156"/>
      <c r="B43" s="254"/>
      <c r="C43" s="255"/>
      <c r="D43" s="368"/>
      <c r="E43" s="256"/>
      <c r="F43" s="255"/>
      <c r="G43" s="255"/>
      <c r="H43" s="256" t="s">
        <v>40</v>
      </c>
      <c r="I43" s="256" t="s">
        <v>26</v>
      </c>
      <c r="J43" s="256" t="s">
        <v>29</v>
      </c>
      <c r="K43" s="420"/>
      <c r="L43" s="420"/>
      <c r="M43" s="420"/>
      <c r="N43" s="420"/>
      <c r="O43" s="257"/>
      <c r="P43" s="258"/>
      <c r="Q43" s="257"/>
      <c r="R43" s="258"/>
      <c r="S43" s="349"/>
      <c r="T43" s="310">
        <f>SUM(T44:T46)</f>
        <v>2986.3503354198538</v>
      </c>
      <c r="U43" s="259"/>
      <c r="V43" s="392"/>
    </row>
    <row r="44" spans="1:24" s="23" customFormat="1" ht="12" customHeight="1" x14ac:dyDescent="0.2">
      <c r="A44" s="156"/>
      <c r="B44" s="237" t="s">
        <v>77</v>
      </c>
      <c r="C44" s="56"/>
      <c r="D44" s="122"/>
      <c r="E44" s="145">
        <v>43439</v>
      </c>
      <c r="F44" s="56"/>
      <c r="G44" s="56"/>
      <c r="H44" s="146" t="s">
        <v>59</v>
      </c>
      <c r="I44" s="147" t="s">
        <v>58</v>
      </c>
      <c r="J44" s="147" t="s">
        <v>52</v>
      </c>
      <c r="K44" s="418"/>
      <c r="L44" s="418"/>
      <c r="M44" s="418"/>
      <c r="N44" s="418"/>
      <c r="O44" s="148"/>
      <c r="P44" s="125"/>
      <c r="Q44" s="149"/>
      <c r="R44" s="125"/>
      <c r="S44" s="343"/>
      <c r="T44" s="306">
        <f>SUMIF($J$38:$J$41,J44,$S$38:$S$41)</f>
        <v>691.59284205575386</v>
      </c>
      <c r="U44" s="260"/>
      <c r="V44" s="392"/>
    </row>
    <row r="45" spans="1:24" s="23" customFormat="1" ht="12" customHeight="1" x14ac:dyDescent="0.2">
      <c r="A45" s="156"/>
      <c r="B45" s="261" t="s">
        <v>77</v>
      </c>
      <c r="C45" s="192"/>
      <c r="D45" s="194"/>
      <c r="E45" s="193">
        <v>43439</v>
      </c>
      <c r="F45" s="192"/>
      <c r="G45" s="192"/>
      <c r="H45" s="214" t="s">
        <v>120</v>
      </c>
      <c r="I45" s="215" t="s">
        <v>118</v>
      </c>
      <c r="J45" s="192" t="s">
        <v>131</v>
      </c>
      <c r="K45" s="216"/>
      <c r="L45" s="216"/>
      <c r="M45" s="216"/>
      <c r="N45" s="216"/>
      <c r="O45" s="200"/>
      <c r="P45" s="188"/>
      <c r="Q45" s="201"/>
      <c r="R45" s="188"/>
      <c r="S45" s="341"/>
      <c r="T45" s="311">
        <f>SUMIF($J$38:$J$41,J45,$S$38:$S$41)+S13</f>
        <v>984.15497836409997</v>
      </c>
      <c r="U45" s="262" t="s">
        <v>132</v>
      </c>
      <c r="V45" s="392"/>
    </row>
    <row r="46" spans="1:24" s="23" customFormat="1" ht="12" customHeight="1" x14ac:dyDescent="0.2">
      <c r="A46" s="156"/>
      <c r="B46" s="263" t="s">
        <v>77</v>
      </c>
      <c r="C46" s="246"/>
      <c r="D46" s="379"/>
      <c r="E46" s="247">
        <v>43439</v>
      </c>
      <c r="F46" s="246"/>
      <c r="G46" s="246"/>
      <c r="H46" s="248" t="s">
        <v>130</v>
      </c>
      <c r="I46" s="249" t="s">
        <v>126</v>
      </c>
      <c r="J46" s="249" t="s">
        <v>127</v>
      </c>
      <c r="K46" s="250"/>
      <c r="L46" s="250"/>
      <c r="M46" s="250"/>
      <c r="N46" s="250"/>
      <c r="O46" s="251"/>
      <c r="P46" s="252"/>
      <c r="Q46" s="253"/>
      <c r="R46" s="252"/>
      <c r="S46" s="350"/>
      <c r="T46" s="312">
        <f>SUMIF($J$38:$J$42,J46,$S$38:$S$42)</f>
        <v>1310.602515</v>
      </c>
      <c r="U46" s="264"/>
      <c r="V46" s="392"/>
    </row>
    <row r="47" spans="1:24" s="15" customFormat="1" ht="12" customHeight="1" x14ac:dyDescent="0.2">
      <c r="A47" s="156"/>
      <c r="B47" s="238" t="s">
        <v>79</v>
      </c>
      <c r="C47" s="239"/>
      <c r="D47" s="380">
        <v>43441</v>
      </c>
      <c r="E47" s="240">
        <v>43439</v>
      </c>
      <c r="F47" s="239"/>
      <c r="G47" s="239"/>
      <c r="H47" s="239" t="s">
        <v>37</v>
      </c>
      <c r="I47" s="242" t="s">
        <v>26</v>
      </c>
      <c r="J47" s="239" t="s">
        <v>29</v>
      </c>
      <c r="K47" s="265">
        <v>341</v>
      </c>
      <c r="L47" s="266" t="s">
        <v>62</v>
      </c>
      <c r="M47" s="267" t="s">
        <v>55</v>
      </c>
      <c r="N47" s="267" t="s">
        <v>115</v>
      </c>
      <c r="O47" s="268"/>
      <c r="P47" s="244"/>
      <c r="Q47" s="268"/>
      <c r="R47" s="244"/>
      <c r="S47" s="351"/>
      <c r="T47" s="313">
        <f>25145.44</f>
        <v>25145.439999999999</v>
      </c>
      <c r="U47" s="245"/>
      <c r="V47" s="59"/>
    </row>
    <row r="48" spans="1:24" s="118" customFormat="1" ht="12" customHeight="1" x14ac:dyDescent="0.2">
      <c r="A48" s="162"/>
      <c r="B48" s="58" t="s">
        <v>76</v>
      </c>
      <c r="C48" s="117"/>
      <c r="D48" s="377">
        <v>43440</v>
      </c>
      <c r="E48" s="145">
        <v>43439</v>
      </c>
      <c r="F48" s="117"/>
      <c r="G48" s="117"/>
      <c r="H48" s="121" t="s">
        <v>109</v>
      </c>
      <c r="I48" s="121" t="s">
        <v>110</v>
      </c>
      <c r="J48" s="121" t="s">
        <v>111</v>
      </c>
      <c r="K48" s="122">
        <v>41</v>
      </c>
      <c r="L48" s="163" t="s">
        <v>112</v>
      </c>
      <c r="M48" s="123" t="s">
        <v>113</v>
      </c>
      <c r="N48" s="123" t="s">
        <v>114</v>
      </c>
      <c r="O48" s="57"/>
      <c r="P48" s="125"/>
      <c r="Q48" s="57"/>
      <c r="R48" s="125"/>
      <c r="S48" s="345"/>
      <c r="T48" s="308">
        <f>MIN(T37-SUM(T38:T43,T47))</f>
        <v>341381.51732065278</v>
      </c>
      <c r="U48" s="177">
        <f>SUM($T$48,$T$34)</f>
        <v>5349127.2105076956</v>
      </c>
      <c r="V48" s="388"/>
      <c r="W48" s="119"/>
      <c r="X48" s="120"/>
    </row>
    <row r="49" spans="1:28" s="118" customFormat="1" ht="12" customHeight="1" x14ac:dyDescent="0.2">
      <c r="A49" s="162"/>
      <c r="B49" s="217" t="s">
        <v>116</v>
      </c>
      <c r="C49" s="218"/>
      <c r="D49" s="381"/>
      <c r="E49" s="219"/>
      <c r="F49" s="218"/>
      <c r="G49" s="218"/>
      <c r="H49" s="220"/>
      <c r="I49" s="220"/>
      <c r="J49" s="220"/>
      <c r="K49" s="221"/>
      <c r="L49" s="222"/>
      <c r="M49" s="223"/>
      <c r="N49" s="223"/>
      <c r="O49" s="224"/>
      <c r="P49" s="225"/>
      <c r="Q49" s="224"/>
      <c r="R49" s="225"/>
      <c r="S49" s="346"/>
      <c r="T49" s="309">
        <f>T37-SUM(T38:T43,T47:T48)</f>
        <v>0</v>
      </c>
      <c r="U49" s="224"/>
      <c r="V49" s="388"/>
      <c r="W49" s="119"/>
      <c r="X49" s="120"/>
    </row>
    <row r="50" spans="1:28" s="116" customFormat="1" ht="12" customHeight="1" x14ac:dyDescent="0.2">
      <c r="A50" s="157"/>
      <c r="B50" s="60" t="s">
        <v>101</v>
      </c>
      <c r="C50" s="61" t="s">
        <v>107</v>
      </c>
      <c r="D50" s="61"/>
      <c r="E50" s="62">
        <v>43441</v>
      </c>
      <c r="F50" s="63">
        <v>1003.27419288</v>
      </c>
      <c r="G50" s="64">
        <v>600</v>
      </c>
      <c r="H50" s="65" t="s">
        <v>101</v>
      </c>
      <c r="I50" s="65"/>
      <c r="J50" s="65"/>
      <c r="K50" s="66"/>
      <c r="L50" s="66"/>
      <c r="M50" s="67"/>
      <c r="N50" s="66"/>
      <c r="O50" s="60"/>
      <c r="P50" s="68"/>
      <c r="Q50" s="69"/>
      <c r="R50" s="68"/>
      <c r="S50" s="347"/>
      <c r="T50" s="292">
        <f>F50*G50</f>
        <v>601964.51572799997</v>
      </c>
      <c r="U50" s="60"/>
      <c r="V50" s="390"/>
      <c r="W50" s="128"/>
    </row>
    <row r="51" spans="1:28" s="129" customFormat="1" ht="12" customHeight="1" x14ac:dyDescent="0.2">
      <c r="A51" s="158"/>
      <c r="B51" s="133" t="s">
        <v>101</v>
      </c>
      <c r="C51" s="134" t="s">
        <v>116</v>
      </c>
      <c r="D51" s="134"/>
      <c r="E51" s="136">
        <v>43441</v>
      </c>
      <c r="F51" s="137"/>
      <c r="G51" s="138"/>
      <c r="H51" s="139" t="s">
        <v>117</v>
      </c>
      <c r="I51" s="139"/>
      <c r="J51" s="139"/>
      <c r="K51" s="140"/>
      <c r="L51" s="140"/>
      <c r="M51" s="141"/>
      <c r="N51" s="140"/>
      <c r="O51" s="133"/>
      <c r="P51" s="142"/>
      <c r="Q51" s="143"/>
      <c r="R51" s="142"/>
      <c r="S51" s="348"/>
      <c r="T51" s="293">
        <f>SUM(T50:T50)</f>
        <v>601964.51572799997</v>
      </c>
      <c r="U51" s="133"/>
      <c r="V51" s="391"/>
      <c r="W51" s="130"/>
    </row>
    <row r="52" spans="1:28" s="23" customFormat="1" ht="12" customHeight="1" x14ac:dyDescent="0.2">
      <c r="A52" s="159"/>
      <c r="B52" s="44" t="s">
        <v>76</v>
      </c>
      <c r="D52" s="377">
        <v>43444</v>
      </c>
      <c r="E52" s="43">
        <v>43441</v>
      </c>
      <c r="H52" s="25" t="s">
        <v>8</v>
      </c>
      <c r="I52" s="38" t="s">
        <v>58</v>
      </c>
      <c r="J52" s="25" t="s">
        <v>52</v>
      </c>
      <c r="K52" s="42">
        <v>341</v>
      </c>
      <c r="L52" s="41" t="s">
        <v>62</v>
      </c>
      <c r="M52" s="40" t="s">
        <v>55</v>
      </c>
      <c r="N52" s="42" t="s">
        <v>53</v>
      </c>
      <c r="O52" s="44">
        <f>T51*0.5%</f>
        <v>3009.8225786399998</v>
      </c>
      <c r="P52" s="39">
        <v>0.1115</v>
      </c>
      <c r="Q52" s="27">
        <f>O52/(1-P52)</f>
        <v>3387.5324464153068</v>
      </c>
      <c r="R52" s="39">
        <v>6.1499999999999999E-2</v>
      </c>
      <c r="S52" s="331">
        <f>R52*Q52</f>
        <v>208.33324545454136</v>
      </c>
      <c r="T52" s="294">
        <f t="shared" ref="T52:T55" si="7">Q52*(1-R52)</f>
        <v>3179.1992009607657</v>
      </c>
      <c r="U52" s="26"/>
      <c r="V52" s="59"/>
      <c r="W52" s="30"/>
    </row>
    <row r="53" spans="1:28" s="23" customFormat="1" ht="12" customHeight="1" x14ac:dyDescent="0.2">
      <c r="A53" s="159"/>
      <c r="B53" s="202" t="s">
        <v>76</v>
      </c>
      <c r="C53" s="203"/>
      <c r="D53" s="378">
        <v>43444</v>
      </c>
      <c r="E53" s="204">
        <v>43441</v>
      </c>
      <c r="F53" s="203"/>
      <c r="G53" s="203"/>
      <c r="H53" s="182" t="s">
        <v>60</v>
      </c>
      <c r="I53" s="184" t="s">
        <v>58</v>
      </c>
      <c r="J53" s="182" t="s">
        <v>52</v>
      </c>
      <c r="K53" s="185">
        <v>341</v>
      </c>
      <c r="L53" s="186" t="s">
        <v>62</v>
      </c>
      <c r="M53" s="187" t="s">
        <v>55</v>
      </c>
      <c r="N53" s="185" t="s">
        <v>53</v>
      </c>
      <c r="O53" s="181">
        <f>(T51*2.2%)</f>
        <v>13243.219346016002</v>
      </c>
      <c r="P53" s="188">
        <v>0.1115</v>
      </c>
      <c r="Q53" s="189">
        <f>O53/(1-P53)-Q55</f>
        <v>13400.231474907352</v>
      </c>
      <c r="R53" s="188">
        <v>6.1499999999999999E-2</v>
      </c>
      <c r="S53" s="332">
        <f>R53*Q53</f>
        <v>824.11423570680211</v>
      </c>
      <c r="T53" s="295">
        <f t="shared" si="7"/>
        <v>12576.11723920055</v>
      </c>
      <c r="U53" s="189"/>
      <c r="V53" s="59"/>
      <c r="W53" s="30"/>
    </row>
    <row r="54" spans="1:28" s="23" customFormat="1" ht="12" customHeight="1" x14ac:dyDescent="0.2">
      <c r="A54" s="159"/>
      <c r="B54" s="44" t="s">
        <v>76</v>
      </c>
      <c r="D54" s="377">
        <v>43444</v>
      </c>
      <c r="E54" s="43">
        <v>43441</v>
      </c>
      <c r="H54" s="38" t="s">
        <v>122</v>
      </c>
      <c r="I54" s="38" t="s">
        <v>58</v>
      </c>
      <c r="J54" s="25" t="s">
        <v>52</v>
      </c>
      <c r="K54" s="42">
        <v>341</v>
      </c>
      <c r="L54" s="41" t="s">
        <v>62</v>
      </c>
      <c r="M54" s="40" t="s">
        <v>55</v>
      </c>
      <c r="N54" s="42" t="s">
        <v>53</v>
      </c>
      <c r="O54" s="58">
        <f>0.9%*T51</f>
        <v>5417.6806415520005</v>
      </c>
      <c r="P54" s="39">
        <v>0.1115</v>
      </c>
      <c r="Q54" s="27">
        <f>O54/(1-P54)</f>
        <v>6097.5584035475531</v>
      </c>
      <c r="R54" s="39">
        <v>6.1499999999999999E-2</v>
      </c>
      <c r="S54" s="331">
        <f>R54*Q54</f>
        <v>374.9998418181745</v>
      </c>
      <c r="T54" s="294">
        <f t="shared" si="7"/>
        <v>5722.5585617293782</v>
      </c>
      <c r="U54" s="27"/>
      <c r="V54" s="59"/>
      <c r="W54" s="30"/>
    </row>
    <row r="55" spans="1:28" s="23" customFormat="1" ht="12" customHeight="1" x14ac:dyDescent="0.2">
      <c r="A55" s="159"/>
      <c r="B55" s="191" t="s">
        <v>78</v>
      </c>
      <c r="C55" s="192"/>
      <c r="D55" s="194"/>
      <c r="E55" s="193">
        <v>43441</v>
      </c>
      <c r="F55" s="203"/>
      <c r="G55" s="203"/>
      <c r="H55" s="192" t="s">
        <v>108</v>
      </c>
      <c r="I55" s="192" t="s">
        <v>118</v>
      </c>
      <c r="J55" s="192" t="s">
        <v>131</v>
      </c>
      <c r="K55" s="194"/>
      <c r="L55" s="194"/>
      <c r="M55" s="195"/>
      <c r="N55" s="194"/>
      <c r="O55" s="191"/>
      <c r="P55" s="196"/>
      <c r="Q55" s="191">
        <f>0.25%*T51</f>
        <v>1504.9112893199999</v>
      </c>
      <c r="R55" s="196">
        <v>6.1499999999999999E-2</v>
      </c>
      <c r="S55" s="333">
        <f>R55*Q55</f>
        <v>92.552044293179989</v>
      </c>
      <c r="T55" s="296">
        <f t="shared" si="7"/>
        <v>1412.35924502682</v>
      </c>
      <c r="U55" s="189"/>
      <c r="V55" s="59"/>
      <c r="W55" s="30"/>
    </row>
    <row r="56" spans="1:28" s="15" customFormat="1" ht="12" customHeight="1" x14ac:dyDescent="0.2">
      <c r="A56" s="156"/>
      <c r="B56" s="231"/>
      <c r="C56" s="228"/>
      <c r="D56" s="369"/>
      <c r="E56" s="229"/>
      <c r="F56" s="228"/>
      <c r="G56" s="228"/>
      <c r="H56" s="229" t="s">
        <v>40</v>
      </c>
      <c r="I56" s="229" t="s">
        <v>26</v>
      </c>
      <c r="J56" s="229" t="s">
        <v>29</v>
      </c>
      <c r="K56" s="427"/>
      <c r="L56" s="427"/>
      <c r="M56" s="427"/>
      <c r="N56" s="427"/>
      <c r="O56" s="227"/>
      <c r="P56" s="230"/>
      <c r="Q56" s="227"/>
      <c r="R56" s="230"/>
      <c r="S56" s="340"/>
      <c r="T56" s="303">
        <f>SUM(T57:T58)</f>
        <v>1499.9993672726978</v>
      </c>
      <c r="U56" s="232"/>
      <c r="V56" s="392"/>
    </row>
    <row r="57" spans="1:28" s="23" customFormat="1" ht="12" customHeight="1" x14ac:dyDescent="0.2">
      <c r="A57" s="156"/>
      <c r="B57" s="233" t="s">
        <v>77</v>
      </c>
      <c r="C57" s="182"/>
      <c r="D57" s="185"/>
      <c r="E57" s="183">
        <v>43441</v>
      </c>
      <c r="F57" s="182"/>
      <c r="G57" s="182"/>
      <c r="H57" s="198" t="s">
        <v>59</v>
      </c>
      <c r="I57" s="199" t="s">
        <v>58</v>
      </c>
      <c r="J57" s="199" t="s">
        <v>52</v>
      </c>
      <c r="K57" s="428"/>
      <c r="L57" s="428"/>
      <c r="M57" s="428"/>
      <c r="N57" s="428"/>
      <c r="O57" s="200"/>
      <c r="P57" s="188"/>
      <c r="Q57" s="201"/>
      <c r="R57" s="188"/>
      <c r="S57" s="341"/>
      <c r="T57" s="314">
        <f>SUMIF($J$52:$J$55,J57,$S$52:$S$55)</f>
        <v>1407.4473229795178</v>
      </c>
      <c r="U57" s="269"/>
      <c r="V57" s="392"/>
    </row>
    <row r="58" spans="1:28" s="23" customFormat="1" ht="12" customHeight="1" x14ac:dyDescent="0.2">
      <c r="A58" s="156"/>
      <c r="B58" s="270" t="s">
        <v>77</v>
      </c>
      <c r="C58" s="271"/>
      <c r="D58" s="382"/>
      <c r="E58" s="272">
        <v>43441</v>
      </c>
      <c r="F58" s="271"/>
      <c r="G58" s="271"/>
      <c r="H58" s="273" t="s">
        <v>120</v>
      </c>
      <c r="I58" s="274" t="s">
        <v>118</v>
      </c>
      <c r="J58" s="275" t="s">
        <v>131</v>
      </c>
      <c r="K58" s="276"/>
      <c r="L58" s="276"/>
      <c r="M58" s="276"/>
      <c r="N58" s="276"/>
      <c r="O58" s="277"/>
      <c r="P58" s="278"/>
      <c r="Q58" s="279"/>
      <c r="R58" s="278"/>
      <c r="S58" s="352"/>
      <c r="T58" s="315">
        <f>SUMIF($J$52:$J$55,J58,$S$52:$S$55)</f>
        <v>92.552044293179989</v>
      </c>
      <c r="U58" s="280"/>
      <c r="V58" s="392"/>
    </row>
    <row r="59" spans="1:28" s="15" customFormat="1" ht="12" customHeight="1" x14ac:dyDescent="0.2">
      <c r="A59" s="156"/>
      <c r="B59" s="202" t="s">
        <v>79</v>
      </c>
      <c r="C59" s="203"/>
      <c r="D59" s="383">
        <v>43444</v>
      </c>
      <c r="E59" s="204">
        <v>43441</v>
      </c>
      <c r="F59" s="203"/>
      <c r="G59" s="203"/>
      <c r="H59" s="182" t="s">
        <v>37</v>
      </c>
      <c r="I59" s="184" t="s">
        <v>26</v>
      </c>
      <c r="J59" s="182" t="s">
        <v>29</v>
      </c>
      <c r="K59" s="185">
        <v>341</v>
      </c>
      <c r="L59" s="186" t="s">
        <v>62</v>
      </c>
      <c r="M59" s="187" t="s">
        <v>55</v>
      </c>
      <c r="N59" s="187" t="s">
        <v>115</v>
      </c>
      <c r="O59" s="205"/>
      <c r="P59" s="188"/>
      <c r="Q59" s="189"/>
      <c r="R59" s="188"/>
      <c r="S59" s="332"/>
      <c r="T59" s="295">
        <f>35123.72</f>
        <v>35123.72</v>
      </c>
      <c r="U59" s="205"/>
      <c r="V59" s="59"/>
    </row>
    <row r="60" spans="1:28" s="118" customFormat="1" ht="12" customHeight="1" x14ac:dyDescent="0.2">
      <c r="A60" s="162"/>
      <c r="B60" s="58" t="s">
        <v>76</v>
      </c>
      <c r="C60" s="117"/>
      <c r="D60" s="377">
        <v>43444</v>
      </c>
      <c r="E60" s="145">
        <v>43441</v>
      </c>
      <c r="F60" s="117"/>
      <c r="G60" s="117"/>
      <c r="H60" s="121" t="s">
        <v>109</v>
      </c>
      <c r="I60" s="121" t="s">
        <v>110</v>
      </c>
      <c r="J60" s="121" t="s">
        <v>111</v>
      </c>
      <c r="K60" s="122">
        <v>41</v>
      </c>
      <c r="L60" s="175" t="s">
        <v>112</v>
      </c>
      <c r="M60" s="123" t="s">
        <v>113</v>
      </c>
      <c r="N60" s="123" t="s">
        <v>114</v>
      </c>
      <c r="O60" s="57"/>
      <c r="P60" s="125"/>
      <c r="Q60" s="57"/>
      <c r="R60" s="125"/>
      <c r="S60" s="345"/>
      <c r="T60" s="308">
        <f>MIN(T51-SUM(T52:T56,T59))</f>
        <v>542450.56211380975</v>
      </c>
      <c r="U60" s="178">
        <f>SUM($T$48,$T$34,$T$60)</f>
        <v>5891577.772621505</v>
      </c>
      <c r="V60" s="388"/>
      <c r="W60" s="119"/>
      <c r="X60" s="120"/>
    </row>
    <row r="61" spans="1:28" s="118" customFormat="1" ht="12" customHeight="1" x14ac:dyDescent="0.2">
      <c r="A61" s="162"/>
      <c r="B61" s="226" t="s">
        <v>116</v>
      </c>
      <c r="C61" s="218"/>
      <c r="D61" s="384"/>
      <c r="E61" s="219"/>
      <c r="F61" s="218"/>
      <c r="G61" s="218"/>
      <c r="H61" s="220"/>
      <c r="I61" s="220"/>
      <c r="J61" s="220"/>
      <c r="K61" s="221"/>
      <c r="L61" s="222"/>
      <c r="M61" s="223"/>
      <c r="N61" s="223"/>
      <c r="O61" s="224"/>
      <c r="P61" s="225"/>
      <c r="Q61" s="224"/>
      <c r="R61" s="225"/>
      <c r="S61" s="346"/>
      <c r="T61" s="309">
        <f>T51-SUM(T52:T56,T59:T60)</f>
        <v>0</v>
      </c>
      <c r="U61" s="224"/>
      <c r="V61" s="388"/>
      <c r="W61" s="16" t="s">
        <v>43</v>
      </c>
      <c r="X61" s="16" t="s">
        <v>42</v>
      </c>
      <c r="Y61" s="16" t="s">
        <v>41</v>
      </c>
      <c r="Z61" s="16" t="s">
        <v>45</v>
      </c>
      <c r="AA61" s="16" t="s">
        <v>44</v>
      </c>
      <c r="AB61" s="291" t="s">
        <v>102</v>
      </c>
    </row>
    <row r="62" spans="1:28" s="116" customFormat="1" ht="12" customHeight="1" x14ac:dyDescent="0.2">
      <c r="A62" s="157"/>
      <c r="B62" s="60" t="s">
        <v>101</v>
      </c>
      <c r="C62" s="61" t="s">
        <v>106</v>
      </c>
      <c r="D62" s="61"/>
      <c r="E62" s="62">
        <v>43444</v>
      </c>
      <c r="F62" s="63">
        <v>1005.04630351</v>
      </c>
      <c r="G62" s="64">
        <f>450+850</f>
        <v>1300</v>
      </c>
      <c r="H62" s="65" t="s">
        <v>101</v>
      </c>
      <c r="I62" s="65"/>
      <c r="J62" s="65"/>
      <c r="K62" s="66"/>
      <c r="L62" s="66"/>
      <c r="M62" s="67"/>
      <c r="N62" s="66"/>
      <c r="O62" s="60"/>
      <c r="P62" s="68"/>
      <c r="Q62" s="69"/>
      <c r="R62" s="68"/>
      <c r="S62" s="347"/>
      <c r="T62" s="292">
        <f>F62*G62</f>
        <v>1306560.194563</v>
      </c>
      <c r="U62" s="60"/>
      <c r="V62" s="390"/>
      <c r="W62" s="431" t="s">
        <v>149</v>
      </c>
      <c r="X62" s="431"/>
      <c r="Y62" s="431"/>
      <c r="Z62" s="431"/>
      <c r="AA62" s="353" t="s">
        <v>146</v>
      </c>
      <c r="AB62" s="328">
        <v>1306560.194563</v>
      </c>
    </row>
    <row r="63" spans="1:28" s="116" customFormat="1" ht="12" customHeight="1" x14ac:dyDescent="0.2">
      <c r="A63" s="157"/>
      <c r="B63" s="60" t="s">
        <v>101</v>
      </c>
      <c r="C63" s="61" t="s">
        <v>134</v>
      </c>
      <c r="D63" s="61"/>
      <c r="E63" s="62">
        <v>43444</v>
      </c>
      <c r="F63" s="63">
        <v>1000</v>
      </c>
      <c r="G63" s="64">
        <v>950</v>
      </c>
      <c r="H63" s="65" t="s">
        <v>101</v>
      </c>
      <c r="I63" s="65"/>
      <c r="J63" s="65"/>
      <c r="K63" s="66"/>
      <c r="L63" s="66"/>
      <c r="M63" s="67"/>
      <c r="N63" s="66"/>
      <c r="O63" s="60"/>
      <c r="P63" s="68"/>
      <c r="Q63" s="69"/>
      <c r="R63" s="68"/>
      <c r="S63" s="347"/>
      <c r="T63" s="292">
        <f>F63*G63</f>
        <v>950000</v>
      </c>
      <c r="U63" s="60"/>
      <c r="V63" s="390"/>
      <c r="W63" s="60"/>
      <c r="X63" s="68"/>
      <c r="Y63" s="69"/>
      <c r="Z63" s="68"/>
      <c r="AA63" s="353" t="s">
        <v>147</v>
      </c>
      <c r="AB63" s="328">
        <v>950000</v>
      </c>
    </row>
    <row r="64" spans="1:28" s="129" customFormat="1" ht="12" customHeight="1" x14ac:dyDescent="0.2">
      <c r="A64" s="158"/>
      <c r="B64" s="133" t="s">
        <v>101</v>
      </c>
      <c r="C64" s="134" t="s">
        <v>116</v>
      </c>
      <c r="D64" s="134"/>
      <c r="E64" s="62">
        <v>43444</v>
      </c>
      <c r="F64" s="137"/>
      <c r="G64" s="138"/>
      <c r="H64" s="139" t="s">
        <v>117</v>
      </c>
      <c r="I64" s="139"/>
      <c r="J64" s="139"/>
      <c r="K64" s="140"/>
      <c r="L64" s="140"/>
      <c r="M64" s="141"/>
      <c r="N64" s="140"/>
      <c r="O64" s="133"/>
      <c r="P64" s="142"/>
      <c r="Q64" s="143"/>
      <c r="R64" s="142"/>
      <c r="S64" s="348"/>
      <c r="T64" s="293">
        <f>SUM(T62:T63)</f>
        <v>2256560.194563</v>
      </c>
      <c r="U64" s="133"/>
      <c r="V64" s="391"/>
      <c r="W64" s="133"/>
      <c r="X64" s="142"/>
      <c r="Y64" s="143"/>
      <c r="Z64" s="142"/>
      <c r="AA64" s="354" t="s">
        <v>148</v>
      </c>
      <c r="AB64" s="327">
        <v>2256560.194563</v>
      </c>
    </row>
    <row r="65" spans="1:28" s="23" customFormat="1" ht="12" customHeight="1" x14ac:dyDescent="0.2">
      <c r="A65" s="159"/>
      <c r="B65" s="44" t="s">
        <v>76</v>
      </c>
      <c r="D65" s="377">
        <v>43445</v>
      </c>
      <c r="E65" s="43">
        <v>43444</v>
      </c>
      <c r="H65" s="38" t="s">
        <v>135</v>
      </c>
      <c r="I65" s="38" t="s">
        <v>58</v>
      </c>
      <c r="J65" s="25" t="s">
        <v>52</v>
      </c>
      <c r="K65" s="42">
        <v>341</v>
      </c>
      <c r="L65" s="41" t="s">
        <v>62</v>
      </c>
      <c r="M65" s="40" t="s">
        <v>55</v>
      </c>
      <c r="N65" s="42" t="s">
        <v>53</v>
      </c>
      <c r="O65" s="44">
        <f>T62*0.5%</f>
        <v>6532.800972815</v>
      </c>
      <c r="P65" s="39">
        <v>0.1115</v>
      </c>
      <c r="Q65" s="27">
        <f>O65/(1-P65)</f>
        <v>7352.617864732696</v>
      </c>
      <c r="R65" s="39">
        <v>6.1499999999999999E-2</v>
      </c>
      <c r="S65" s="331">
        <f t="shared" ref="S65:S71" si="8">R65*Q65</f>
        <v>452.18599868106082</v>
      </c>
      <c r="T65" s="294">
        <f t="shared" ref="T65:T68" si="9">Q65*(1-R65)</f>
        <v>6900.4318660516356</v>
      </c>
      <c r="U65" s="26"/>
      <c r="V65" s="59"/>
      <c r="W65" s="44">
        <f>AB62*0.5%</f>
        <v>6532.800972815</v>
      </c>
      <c r="X65" s="39">
        <v>0.1115</v>
      </c>
      <c r="Y65" s="27">
        <f>W65/(1-X65)</f>
        <v>7352.617864732696</v>
      </c>
      <c r="Z65" s="39">
        <v>6.1499999999999999E-2</v>
      </c>
      <c r="AA65" s="36">
        <f t="shared" ref="AA65:AA68" si="10">Z65*Y65</f>
        <v>452.18599868106082</v>
      </c>
      <c r="AB65" s="27">
        <f t="shared" ref="AB65:AB68" si="11">Y65*(1-Z65)</f>
        <v>6900.4318660516356</v>
      </c>
    </row>
    <row r="66" spans="1:28" s="23" customFormat="1" ht="12" customHeight="1" x14ac:dyDescent="0.2">
      <c r="A66" s="159"/>
      <c r="B66" s="202" t="s">
        <v>76</v>
      </c>
      <c r="C66" s="203"/>
      <c r="D66" s="378">
        <v>43445</v>
      </c>
      <c r="E66" s="204">
        <v>43444</v>
      </c>
      <c r="F66" s="203"/>
      <c r="G66" s="203"/>
      <c r="H66" s="184" t="s">
        <v>136</v>
      </c>
      <c r="I66" s="184" t="s">
        <v>58</v>
      </c>
      <c r="J66" s="182" t="s">
        <v>52</v>
      </c>
      <c r="K66" s="185">
        <v>341</v>
      </c>
      <c r="L66" s="186" t="s">
        <v>62</v>
      </c>
      <c r="M66" s="187" t="s">
        <v>55</v>
      </c>
      <c r="N66" s="185" t="s">
        <v>53</v>
      </c>
      <c r="O66" s="181">
        <f>(T62*2.2%)</f>
        <v>28744.324280386001</v>
      </c>
      <c r="P66" s="188">
        <v>0.1115</v>
      </c>
      <c r="Q66" s="189">
        <f>O66/(1-P66)-Q68</f>
        <v>26710.118118416365</v>
      </c>
      <c r="R66" s="188">
        <v>6.1499999999999999E-2</v>
      </c>
      <c r="S66" s="332">
        <f t="shared" si="8"/>
        <v>1642.6722642826064</v>
      </c>
      <c r="T66" s="295">
        <f t="shared" si="9"/>
        <v>25067.445854133759</v>
      </c>
      <c r="U66" s="213" t="s">
        <v>153</v>
      </c>
      <c r="V66" s="59"/>
      <c r="W66" s="181">
        <f>(AB62*2.2%)</f>
        <v>28744.324280386001</v>
      </c>
      <c r="X66" s="188">
        <v>0.1115</v>
      </c>
      <c r="Y66" s="189">
        <f>W66/(1-X66)-Y68</f>
        <v>29085.118118416365</v>
      </c>
      <c r="Z66" s="188">
        <v>6.1499999999999999E-2</v>
      </c>
      <c r="AA66" s="190">
        <f t="shared" si="10"/>
        <v>1788.7347642826064</v>
      </c>
      <c r="AB66" s="189">
        <f t="shared" si="11"/>
        <v>27296.383354133759</v>
      </c>
    </row>
    <row r="67" spans="1:28" s="23" customFormat="1" ht="12" customHeight="1" x14ac:dyDescent="0.2">
      <c r="A67" s="159"/>
      <c r="B67" s="44" t="s">
        <v>76</v>
      </c>
      <c r="D67" s="377">
        <v>43445</v>
      </c>
      <c r="E67" s="43">
        <v>43444</v>
      </c>
      <c r="H67" s="38" t="s">
        <v>137</v>
      </c>
      <c r="I67" s="38" t="s">
        <v>58</v>
      </c>
      <c r="J67" s="25" t="s">
        <v>52</v>
      </c>
      <c r="K67" s="42">
        <v>341</v>
      </c>
      <c r="L67" s="41" t="s">
        <v>62</v>
      </c>
      <c r="M67" s="40" t="s">
        <v>55</v>
      </c>
      <c r="N67" s="42" t="s">
        <v>53</v>
      </c>
      <c r="O67" s="58">
        <f>0.9%*T62</f>
        <v>11759.041751067001</v>
      </c>
      <c r="P67" s="39">
        <v>0.1115</v>
      </c>
      <c r="Q67" s="27">
        <f>O67/(1-P67)</f>
        <v>13234.712156518854</v>
      </c>
      <c r="R67" s="39">
        <v>6.1499999999999999E-2</v>
      </c>
      <c r="S67" s="331">
        <f t="shared" si="8"/>
        <v>813.93479762590948</v>
      </c>
      <c r="T67" s="294">
        <f t="shared" si="9"/>
        <v>12420.777358892945</v>
      </c>
      <c r="U67" s="27"/>
      <c r="V67" s="59"/>
      <c r="W67" s="58">
        <f>0.9%*AB62</f>
        <v>11759.041751067001</v>
      </c>
      <c r="X67" s="39">
        <v>0.1115</v>
      </c>
      <c r="Y67" s="27">
        <f>W67/(1-X67)</f>
        <v>13234.712156518854</v>
      </c>
      <c r="Z67" s="39">
        <v>6.1499999999999999E-2</v>
      </c>
      <c r="AA67" s="36">
        <f t="shared" si="10"/>
        <v>813.93479762590948</v>
      </c>
      <c r="AB67" s="27">
        <f t="shared" si="11"/>
        <v>12420.777358892945</v>
      </c>
    </row>
    <row r="68" spans="1:28" s="23" customFormat="1" ht="12" customHeight="1" x14ac:dyDescent="0.2">
      <c r="A68" s="159"/>
      <c r="B68" s="191" t="s">
        <v>78</v>
      </c>
      <c r="C68" s="192"/>
      <c r="D68" s="194"/>
      <c r="E68" s="193">
        <v>43444</v>
      </c>
      <c r="F68" s="203"/>
      <c r="G68" s="203"/>
      <c r="H68" s="192" t="s">
        <v>108</v>
      </c>
      <c r="I68" s="192" t="s">
        <v>118</v>
      </c>
      <c r="J68" s="192" t="s">
        <v>131</v>
      </c>
      <c r="K68" s="194"/>
      <c r="L68" s="194"/>
      <c r="M68" s="195"/>
      <c r="N68" s="194"/>
      <c r="O68" s="191"/>
      <c r="P68" s="196"/>
      <c r="Q68" s="191">
        <f>0.25%*T64</f>
        <v>5641.4004864075005</v>
      </c>
      <c r="R68" s="196">
        <v>6.1499999999999999E-2</v>
      </c>
      <c r="S68" s="333">
        <f t="shared" si="8"/>
        <v>346.94612991406126</v>
      </c>
      <c r="T68" s="296">
        <f t="shared" si="9"/>
        <v>5294.4543564934393</v>
      </c>
      <c r="U68" s="181" t="s">
        <v>150</v>
      </c>
      <c r="V68" s="59"/>
      <c r="W68" s="191"/>
      <c r="X68" s="196"/>
      <c r="Y68" s="191">
        <f>0.25%*AB62</f>
        <v>3266.4004864075</v>
      </c>
      <c r="Z68" s="196">
        <v>6.1499999999999999E-2</v>
      </c>
      <c r="AA68" s="197">
        <f t="shared" si="10"/>
        <v>200.88362991406126</v>
      </c>
      <c r="AB68" s="191">
        <f t="shared" si="11"/>
        <v>3065.5168564934388</v>
      </c>
    </row>
    <row r="69" spans="1:28" s="23" customFormat="1" ht="12" customHeight="1" x14ac:dyDescent="0.2">
      <c r="A69" s="159"/>
      <c r="B69" s="58" t="s">
        <v>76</v>
      </c>
      <c r="C69" s="25"/>
      <c r="D69" s="377">
        <v>43445</v>
      </c>
      <c r="E69" s="83">
        <v>43444</v>
      </c>
      <c r="F69" s="25"/>
      <c r="G69" s="25"/>
      <c r="H69" s="38" t="s">
        <v>138</v>
      </c>
      <c r="I69" s="38" t="s">
        <v>58</v>
      </c>
      <c r="J69" s="25" t="s">
        <v>52</v>
      </c>
      <c r="K69" s="42">
        <v>341</v>
      </c>
      <c r="L69" s="41" t="s">
        <v>62</v>
      </c>
      <c r="M69" s="40" t="s">
        <v>55</v>
      </c>
      <c r="N69" s="42" t="s">
        <v>53</v>
      </c>
      <c r="O69" s="58">
        <f>T63*0.5%</f>
        <v>4750</v>
      </c>
      <c r="P69" s="39">
        <v>0.1115</v>
      </c>
      <c r="Q69" s="27">
        <f>O69/(1-P69)</f>
        <v>5346.0889138998318</v>
      </c>
      <c r="R69" s="39">
        <v>6.1499999999999999E-2</v>
      </c>
      <c r="S69" s="331">
        <f t="shared" si="8"/>
        <v>328.78446820483964</v>
      </c>
      <c r="T69" s="294">
        <f t="shared" ref="T69:T71" si="12">Q69*(1-R69)</f>
        <v>5017.304445694992</v>
      </c>
      <c r="U69" s="27"/>
      <c r="V69" s="59"/>
      <c r="W69" s="30"/>
      <c r="Y69" s="30">
        <f>Q68-Y68</f>
        <v>2375.0000000000005</v>
      </c>
    </row>
    <row r="70" spans="1:28" s="23" customFormat="1" ht="12" customHeight="1" x14ac:dyDescent="0.2">
      <c r="A70" s="159"/>
      <c r="B70" s="181" t="s">
        <v>76</v>
      </c>
      <c r="C70" s="182"/>
      <c r="D70" s="378">
        <v>43445</v>
      </c>
      <c r="E70" s="183">
        <v>43444</v>
      </c>
      <c r="F70" s="182"/>
      <c r="G70" s="182"/>
      <c r="H70" s="184" t="s">
        <v>139</v>
      </c>
      <c r="I70" s="184" t="s">
        <v>58</v>
      </c>
      <c r="J70" s="182" t="s">
        <v>52</v>
      </c>
      <c r="K70" s="185">
        <v>341</v>
      </c>
      <c r="L70" s="186" t="s">
        <v>62</v>
      </c>
      <c r="M70" s="187" t="s">
        <v>55</v>
      </c>
      <c r="N70" s="185" t="s">
        <v>53</v>
      </c>
      <c r="O70" s="181">
        <f>(T63*2.2%)</f>
        <v>20900.000000000004</v>
      </c>
      <c r="P70" s="188">
        <v>0.1115</v>
      </c>
      <c r="Q70" s="189">
        <f>O70/(1-P70)</f>
        <v>23522.791221159263</v>
      </c>
      <c r="R70" s="188">
        <v>6.1499999999999999E-2</v>
      </c>
      <c r="S70" s="332">
        <f t="shared" si="8"/>
        <v>1446.6516601012947</v>
      </c>
      <c r="T70" s="295">
        <f t="shared" si="12"/>
        <v>22076.139561057968</v>
      </c>
      <c r="U70" s="189"/>
      <c r="V70" s="59"/>
      <c r="W70" s="30"/>
    </row>
    <row r="71" spans="1:28" s="23" customFormat="1" ht="12" customHeight="1" x14ac:dyDescent="0.2">
      <c r="A71" s="159"/>
      <c r="B71" s="58" t="s">
        <v>76</v>
      </c>
      <c r="C71" s="25"/>
      <c r="D71" s="377">
        <v>43445</v>
      </c>
      <c r="E71" s="83">
        <v>43444</v>
      </c>
      <c r="F71" s="25"/>
      <c r="G71" s="25"/>
      <c r="H71" s="38" t="s">
        <v>140</v>
      </c>
      <c r="I71" s="38" t="s">
        <v>58</v>
      </c>
      <c r="J71" s="25" t="s">
        <v>52</v>
      </c>
      <c r="K71" s="42">
        <v>341</v>
      </c>
      <c r="L71" s="41" t="s">
        <v>62</v>
      </c>
      <c r="M71" s="40" t="s">
        <v>55</v>
      </c>
      <c r="N71" s="42" t="s">
        <v>53</v>
      </c>
      <c r="O71" s="58">
        <f>0.9%*T63</f>
        <v>8550.0000000000018</v>
      </c>
      <c r="P71" s="39">
        <v>0.1115</v>
      </c>
      <c r="Q71" s="27">
        <f>O71/(1-P71)</f>
        <v>9622.9600450196995</v>
      </c>
      <c r="R71" s="39">
        <v>6.1499999999999999E-2</v>
      </c>
      <c r="S71" s="331">
        <f t="shared" si="8"/>
        <v>591.81204276871154</v>
      </c>
      <c r="T71" s="294">
        <f t="shared" si="12"/>
        <v>9031.1480022509877</v>
      </c>
      <c r="U71" s="27"/>
      <c r="V71" s="59"/>
      <c r="W71" s="30"/>
      <c r="Y71" s="30"/>
    </row>
    <row r="72" spans="1:28" s="15" customFormat="1" ht="12" customHeight="1" x14ac:dyDescent="0.2">
      <c r="A72" s="156"/>
      <c r="B72" s="254"/>
      <c r="C72" s="255"/>
      <c r="D72" s="368"/>
      <c r="E72" s="256"/>
      <c r="F72" s="255"/>
      <c r="G72" s="255"/>
      <c r="H72" s="256" t="s">
        <v>40</v>
      </c>
      <c r="I72" s="256" t="s">
        <v>26</v>
      </c>
      <c r="J72" s="256"/>
      <c r="K72" s="420"/>
      <c r="L72" s="420"/>
      <c r="M72" s="420"/>
      <c r="N72" s="420"/>
      <c r="O72" s="257"/>
      <c r="P72" s="258"/>
      <c r="Q72" s="257"/>
      <c r="R72" s="258"/>
      <c r="S72" s="349"/>
      <c r="T72" s="310">
        <f>SUM(T73:T74)</f>
        <v>5622.9873615784836</v>
      </c>
      <c r="U72" s="259"/>
      <c r="V72" s="392"/>
    </row>
    <row r="73" spans="1:28" s="23" customFormat="1" ht="12" customHeight="1" x14ac:dyDescent="0.2">
      <c r="A73" s="156"/>
      <c r="B73" s="237" t="s">
        <v>77</v>
      </c>
      <c r="C73" s="56"/>
      <c r="D73" s="122"/>
      <c r="E73" s="145">
        <v>43444</v>
      </c>
      <c r="F73" s="56"/>
      <c r="G73" s="56"/>
      <c r="H73" s="146" t="s">
        <v>59</v>
      </c>
      <c r="I73" s="147" t="s">
        <v>58</v>
      </c>
      <c r="J73" s="147" t="s">
        <v>52</v>
      </c>
      <c r="K73" s="418"/>
      <c r="L73" s="418"/>
      <c r="M73" s="418"/>
      <c r="N73" s="418"/>
      <c r="O73" s="148"/>
      <c r="P73" s="125"/>
      <c r="Q73" s="149"/>
      <c r="R73" s="125"/>
      <c r="S73" s="343"/>
      <c r="T73" s="316">
        <f>SUMIF($J$65:$J$71,J73,$S$65:$S$71)</f>
        <v>5276.0412316644224</v>
      </c>
      <c r="U73" s="260"/>
      <c r="V73" s="392"/>
    </row>
    <row r="74" spans="1:28" s="23" customFormat="1" ht="12" customHeight="1" x14ac:dyDescent="0.2">
      <c r="A74" s="156"/>
      <c r="B74" s="282" t="s">
        <v>77</v>
      </c>
      <c r="C74" s="283"/>
      <c r="D74" s="385"/>
      <c r="E74" s="284">
        <v>43444</v>
      </c>
      <c r="F74" s="283"/>
      <c r="G74" s="283"/>
      <c r="H74" s="285" t="s">
        <v>120</v>
      </c>
      <c r="I74" s="286" t="s">
        <v>118</v>
      </c>
      <c r="J74" s="283" t="s">
        <v>131</v>
      </c>
      <c r="K74" s="287"/>
      <c r="L74" s="287"/>
      <c r="M74" s="287"/>
      <c r="N74" s="287"/>
      <c r="O74" s="243"/>
      <c r="P74" s="244"/>
      <c r="Q74" s="288"/>
      <c r="R74" s="244"/>
      <c r="S74" s="344"/>
      <c r="T74" s="317">
        <f>SUMIF($J$65:$J$71,J74,$S$65:$S$71)</f>
        <v>346.94612991406126</v>
      </c>
      <c r="U74" s="281"/>
      <c r="V74" s="392"/>
    </row>
    <row r="75" spans="1:28" s="15" customFormat="1" ht="12" customHeight="1" x14ac:dyDescent="0.2">
      <c r="A75" s="156"/>
      <c r="B75" s="151" t="s">
        <v>79</v>
      </c>
      <c r="C75" s="59"/>
      <c r="D75" s="377">
        <v>43445</v>
      </c>
      <c r="E75" s="152">
        <v>43444</v>
      </c>
      <c r="F75" s="59"/>
      <c r="G75" s="59"/>
      <c r="H75" s="56" t="s">
        <v>37</v>
      </c>
      <c r="I75" s="121" t="s">
        <v>26</v>
      </c>
      <c r="J75" s="56" t="s">
        <v>29</v>
      </c>
      <c r="K75" s="122">
        <v>341</v>
      </c>
      <c r="L75" s="176" t="s">
        <v>62</v>
      </c>
      <c r="M75" s="123" t="s">
        <v>55</v>
      </c>
      <c r="N75" s="123" t="s">
        <v>115</v>
      </c>
      <c r="O75" s="153"/>
      <c r="P75" s="125"/>
      <c r="Q75" s="57"/>
      <c r="R75" s="125"/>
      <c r="S75" s="345"/>
      <c r="T75" s="308">
        <f>81722.68+49336.45</f>
        <v>131059.12999999999</v>
      </c>
      <c r="V75" s="59"/>
    </row>
    <row r="76" spans="1:28" s="118" customFormat="1" ht="12" customHeight="1" x14ac:dyDescent="0.2">
      <c r="A76" s="162"/>
      <c r="B76" s="181" t="s">
        <v>76</v>
      </c>
      <c r="C76" s="65"/>
      <c r="D76" s="378">
        <v>43445</v>
      </c>
      <c r="E76" s="183">
        <v>43444</v>
      </c>
      <c r="F76" s="65"/>
      <c r="G76" s="65"/>
      <c r="H76" s="184" t="s">
        <v>109</v>
      </c>
      <c r="I76" s="184" t="s">
        <v>110</v>
      </c>
      <c r="J76" s="184" t="s">
        <v>111</v>
      </c>
      <c r="K76" s="185">
        <v>41</v>
      </c>
      <c r="L76" s="186" t="s">
        <v>112</v>
      </c>
      <c r="M76" s="187" t="s">
        <v>113</v>
      </c>
      <c r="N76" s="187" t="s">
        <v>114</v>
      </c>
      <c r="O76" s="189"/>
      <c r="P76" s="188"/>
      <c r="Q76" s="189"/>
      <c r="R76" s="188"/>
      <c r="S76" s="332"/>
      <c r="T76" s="295">
        <f>MIN(T64-SUM(T65:T72,T75))</f>
        <v>2034070.3757568458</v>
      </c>
      <c r="U76" s="178">
        <f>SUM($T$48,$T$34,$T$60,$T$76)</f>
        <v>7925648.1483783508</v>
      </c>
      <c r="V76" s="388"/>
      <c r="W76" s="119"/>
      <c r="X76" s="120"/>
    </row>
    <row r="77" spans="1:28" s="118" customFormat="1" ht="12" customHeight="1" x14ac:dyDescent="0.2">
      <c r="A77" s="162"/>
      <c r="B77" s="226" t="s">
        <v>116</v>
      </c>
      <c r="C77" s="218"/>
      <c r="D77" s="384"/>
      <c r="E77" s="219"/>
      <c r="F77" s="218"/>
      <c r="G77" s="218"/>
      <c r="H77" s="220"/>
      <c r="I77" s="220"/>
      <c r="J77" s="220"/>
      <c r="K77" s="221"/>
      <c r="L77" s="222"/>
      <c r="M77" s="223"/>
      <c r="N77" s="223"/>
      <c r="O77" s="224"/>
      <c r="P77" s="225"/>
      <c r="Q77" s="224"/>
      <c r="R77" s="225"/>
      <c r="S77" s="346"/>
      <c r="T77" s="309">
        <f>T64-SUM(T65:T72,T75:T76)</f>
        <v>0</v>
      </c>
      <c r="U77" s="224"/>
      <c r="V77" s="388"/>
      <c r="W77" s="119"/>
      <c r="X77" s="120"/>
    </row>
    <row r="78" spans="1:28" s="118" customFormat="1" ht="12" customHeight="1" x14ac:dyDescent="0.2">
      <c r="A78" s="162"/>
      <c r="B78" s="60" t="s">
        <v>101</v>
      </c>
      <c r="C78" s="61">
        <v>198</v>
      </c>
      <c r="D78" s="61"/>
      <c r="E78" s="62">
        <v>43445</v>
      </c>
      <c r="F78" s="63">
        <v>1005.88983361</v>
      </c>
      <c r="G78" s="64">
        <v>5000</v>
      </c>
      <c r="H78" s="65" t="s">
        <v>101</v>
      </c>
      <c r="I78" s="65"/>
      <c r="J78" s="65"/>
      <c r="K78" s="66"/>
      <c r="L78" s="66"/>
      <c r="M78" s="67"/>
      <c r="N78" s="66"/>
      <c r="O78" s="60"/>
      <c r="P78" s="68"/>
      <c r="Q78" s="69"/>
      <c r="R78" s="68"/>
      <c r="S78" s="347"/>
      <c r="T78" s="292">
        <f>F78*G78</f>
        <v>5029449.1680499995</v>
      </c>
      <c r="U78" s="60"/>
      <c r="V78" s="388"/>
      <c r="W78" s="119"/>
      <c r="X78" s="120"/>
    </row>
    <row r="79" spans="1:28" s="118" customFormat="1" ht="12" customHeight="1" x14ac:dyDescent="0.2">
      <c r="A79" s="162"/>
      <c r="B79" s="133" t="s">
        <v>101</v>
      </c>
      <c r="C79" s="134" t="s">
        <v>116</v>
      </c>
      <c r="D79" s="134"/>
      <c r="E79" s="62">
        <v>43445</v>
      </c>
      <c r="F79" s="137"/>
      <c r="G79" s="138"/>
      <c r="H79" s="139" t="s">
        <v>117</v>
      </c>
      <c r="I79" s="139"/>
      <c r="J79" s="139"/>
      <c r="K79" s="140"/>
      <c r="L79" s="140"/>
      <c r="M79" s="141"/>
      <c r="N79" s="140"/>
      <c r="O79" s="133"/>
      <c r="P79" s="142"/>
      <c r="Q79" s="143"/>
      <c r="R79" s="142"/>
      <c r="S79" s="348"/>
      <c r="T79" s="293">
        <f>SUM(T78)</f>
        <v>5029449.1680499995</v>
      </c>
      <c r="U79" s="133"/>
      <c r="V79" s="388"/>
      <c r="W79" s="119"/>
      <c r="X79" s="120"/>
    </row>
    <row r="80" spans="1:28" s="118" customFormat="1" ht="12" customHeight="1" x14ac:dyDescent="0.2">
      <c r="A80" s="162"/>
      <c r="B80" s="44" t="s">
        <v>76</v>
      </c>
      <c r="C80" s="23"/>
      <c r="D80" s="377">
        <v>43446</v>
      </c>
      <c r="E80" s="43">
        <v>43445</v>
      </c>
      <c r="F80" s="23"/>
      <c r="G80" s="23"/>
      <c r="H80" s="38" t="s">
        <v>8</v>
      </c>
      <c r="I80" s="38" t="s">
        <v>58</v>
      </c>
      <c r="J80" s="25" t="s">
        <v>52</v>
      </c>
      <c r="K80" s="42">
        <v>341</v>
      </c>
      <c r="L80" s="41" t="s">
        <v>62</v>
      </c>
      <c r="M80" s="40" t="s">
        <v>55</v>
      </c>
      <c r="N80" s="42" t="s">
        <v>53</v>
      </c>
      <c r="O80" s="44">
        <f>T79*0.5%</f>
        <v>25147.245840249998</v>
      </c>
      <c r="P80" s="39">
        <v>0.1115</v>
      </c>
      <c r="Q80" s="27">
        <f>O80/(1-P80)</f>
        <v>28303.034147720879</v>
      </c>
      <c r="R80" s="39">
        <v>6.1499999999999999E-2</v>
      </c>
      <c r="S80" s="331">
        <f t="shared" ref="S80:S83" si="13">R80*Q80</f>
        <v>1740.6366000848341</v>
      </c>
      <c r="T80" s="294">
        <f t="shared" ref="T80:T84" si="14">Q80*(1-R80)</f>
        <v>26562.397547636043</v>
      </c>
      <c r="U80" s="26"/>
      <c r="V80" s="388"/>
      <c r="W80" s="119"/>
      <c r="X80" s="120"/>
    </row>
    <row r="81" spans="1:24" s="118" customFormat="1" ht="12" customHeight="1" x14ac:dyDescent="0.2">
      <c r="A81" s="162"/>
      <c r="B81" s="202" t="s">
        <v>76</v>
      </c>
      <c r="C81" s="203"/>
      <c r="D81" s="378">
        <v>43446</v>
      </c>
      <c r="E81" s="204">
        <v>43445</v>
      </c>
      <c r="F81" s="203"/>
      <c r="G81" s="203"/>
      <c r="H81" s="184" t="s">
        <v>60</v>
      </c>
      <c r="I81" s="184" t="s">
        <v>58</v>
      </c>
      <c r="J81" s="182" t="s">
        <v>52</v>
      </c>
      <c r="K81" s="185">
        <v>341</v>
      </c>
      <c r="L81" s="186" t="s">
        <v>62</v>
      </c>
      <c r="M81" s="187" t="s">
        <v>55</v>
      </c>
      <c r="N81" s="185" t="s">
        <v>53</v>
      </c>
      <c r="O81" s="181">
        <f>(T79*2.2%)</f>
        <v>110647.88169710001</v>
      </c>
      <c r="P81" s="188">
        <v>0.1115</v>
      </c>
      <c r="Q81" s="189">
        <f>O81/(1-P81)-Q83</f>
        <v>111959.72732984688</v>
      </c>
      <c r="R81" s="188">
        <v>6.1499999999999999E-2</v>
      </c>
      <c r="S81" s="332">
        <f t="shared" si="13"/>
        <v>6885.5232307855831</v>
      </c>
      <c r="T81" s="295">
        <f t="shared" si="14"/>
        <v>105074.2040990613</v>
      </c>
      <c r="U81" s="213"/>
      <c r="V81" s="388"/>
      <c r="W81" s="119"/>
      <c r="X81" s="120"/>
    </row>
    <row r="82" spans="1:24" s="118" customFormat="1" ht="12" customHeight="1" x14ac:dyDescent="0.2">
      <c r="A82" s="162"/>
      <c r="B82" s="44" t="s">
        <v>76</v>
      </c>
      <c r="C82" s="23"/>
      <c r="D82" s="377">
        <v>43446</v>
      </c>
      <c r="E82" s="43">
        <v>43445</v>
      </c>
      <c r="F82" s="23"/>
      <c r="G82" s="23"/>
      <c r="H82" s="38" t="s">
        <v>122</v>
      </c>
      <c r="I82" s="38" t="s">
        <v>58</v>
      </c>
      <c r="J82" s="25" t="s">
        <v>52</v>
      </c>
      <c r="K82" s="42">
        <v>341</v>
      </c>
      <c r="L82" s="41" t="s">
        <v>62</v>
      </c>
      <c r="M82" s="40" t="s">
        <v>55</v>
      </c>
      <c r="N82" s="42" t="s">
        <v>53</v>
      </c>
      <c r="O82" s="58">
        <f>0.9%*T79</f>
        <v>45265.042512450003</v>
      </c>
      <c r="P82" s="39">
        <v>0.1115</v>
      </c>
      <c r="Q82" s="27">
        <f>O82/(1-P82)</f>
        <v>50945.461465897584</v>
      </c>
      <c r="R82" s="39">
        <v>6.1499999999999999E-2</v>
      </c>
      <c r="S82" s="331">
        <f t="shared" si="13"/>
        <v>3133.1458801527015</v>
      </c>
      <c r="T82" s="294">
        <f t="shared" si="14"/>
        <v>47812.31558574488</v>
      </c>
      <c r="U82" s="27"/>
      <c r="V82" s="388"/>
      <c r="W82" s="119"/>
      <c r="X82" s="120"/>
    </row>
    <row r="83" spans="1:24" s="118" customFormat="1" ht="12" customHeight="1" x14ac:dyDescent="0.2">
      <c r="A83" s="162"/>
      <c r="B83" s="191" t="s">
        <v>78</v>
      </c>
      <c r="C83" s="192"/>
      <c r="D83" s="194"/>
      <c r="E83" s="193">
        <v>43445</v>
      </c>
      <c r="F83" s="203"/>
      <c r="G83" s="203"/>
      <c r="H83" s="192" t="s">
        <v>108</v>
      </c>
      <c r="I83" s="192" t="s">
        <v>118</v>
      </c>
      <c r="J83" s="192" t="s">
        <v>131</v>
      </c>
      <c r="K83" s="194"/>
      <c r="L83" s="194"/>
      <c r="M83" s="195"/>
      <c r="N83" s="194"/>
      <c r="O83" s="191"/>
      <c r="P83" s="196"/>
      <c r="Q83" s="191">
        <f>0.25%*T79</f>
        <v>12573.622920124999</v>
      </c>
      <c r="R83" s="196">
        <v>6.1499999999999999E-2</v>
      </c>
      <c r="S83" s="333">
        <f t="shared" si="13"/>
        <v>773.27780958768744</v>
      </c>
      <c r="T83" s="296">
        <f t="shared" si="14"/>
        <v>11800.345110537311</v>
      </c>
      <c r="U83" s="213"/>
      <c r="V83" s="388"/>
      <c r="W83" s="119"/>
      <c r="X83" s="120"/>
    </row>
    <row r="84" spans="1:24" s="118" customFormat="1" ht="12" customHeight="1" x14ac:dyDescent="0.2">
      <c r="A84" s="160">
        <v>7</v>
      </c>
      <c r="B84" s="89" t="s">
        <v>76</v>
      </c>
      <c r="C84" s="45"/>
      <c r="D84" s="80">
        <v>43446</v>
      </c>
      <c r="E84" s="80">
        <v>43445</v>
      </c>
      <c r="F84" s="79"/>
      <c r="G84" s="79"/>
      <c r="H84" s="46" t="s">
        <v>81</v>
      </c>
      <c r="I84" s="46" t="s">
        <v>82</v>
      </c>
      <c r="J84" s="45" t="s">
        <v>83</v>
      </c>
      <c r="K84" s="47" t="s">
        <v>84</v>
      </c>
      <c r="L84" s="47" t="s">
        <v>85</v>
      </c>
      <c r="M84" s="48" t="s">
        <v>86</v>
      </c>
      <c r="N84" s="47" t="s">
        <v>87</v>
      </c>
      <c r="O84" s="49">
        <f>(4666.99+5186.98)-O16</f>
        <v>1853.9699999999993</v>
      </c>
      <c r="P84" s="50">
        <v>0</v>
      </c>
      <c r="Q84" s="49">
        <f>O84/(1-P84)</f>
        <v>1853.9699999999993</v>
      </c>
      <c r="R84" s="50">
        <v>0</v>
      </c>
      <c r="S84" s="335">
        <f>+R84*Q84</f>
        <v>0</v>
      </c>
      <c r="T84" s="298">
        <f t="shared" si="14"/>
        <v>1853.9699999999993</v>
      </c>
      <c r="U84" s="115" t="s">
        <v>151</v>
      </c>
      <c r="V84" s="388"/>
      <c r="W84" s="119"/>
      <c r="X84" s="120"/>
    </row>
    <row r="85" spans="1:24" s="118" customFormat="1" ht="12" customHeight="1" x14ac:dyDescent="0.2">
      <c r="A85" s="162"/>
      <c r="B85" s="254"/>
      <c r="C85" s="255"/>
      <c r="D85" s="368"/>
      <c r="E85" s="256"/>
      <c r="F85" s="255"/>
      <c r="G85" s="255"/>
      <c r="H85" s="256" t="s">
        <v>40</v>
      </c>
      <c r="I85" s="256" t="s">
        <v>26</v>
      </c>
      <c r="J85" s="256"/>
      <c r="K85" s="420"/>
      <c r="L85" s="420"/>
      <c r="M85" s="420"/>
      <c r="N85" s="420"/>
      <c r="O85" s="257"/>
      <c r="P85" s="258"/>
      <c r="Q85" s="257"/>
      <c r="R85" s="258"/>
      <c r="S85" s="349"/>
      <c r="T85" s="310">
        <f>SUM(T86:T87)</f>
        <v>12532.583520610808</v>
      </c>
      <c r="U85" s="259"/>
      <c r="V85" s="388"/>
      <c r="W85" s="119"/>
      <c r="X85" s="120"/>
    </row>
    <row r="86" spans="1:24" s="118" customFormat="1" ht="12" customHeight="1" x14ac:dyDescent="0.2">
      <c r="A86" s="162"/>
      <c r="B86" s="237" t="s">
        <v>77</v>
      </c>
      <c r="C86" s="56"/>
      <c r="D86" s="122"/>
      <c r="E86" s="145">
        <v>43445</v>
      </c>
      <c r="F86" s="56"/>
      <c r="G86" s="56"/>
      <c r="H86" s="146" t="s">
        <v>59</v>
      </c>
      <c r="I86" s="147" t="s">
        <v>58</v>
      </c>
      <c r="J86" s="147" t="s">
        <v>52</v>
      </c>
      <c r="K86" s="418"/>
      <c r="L86" s="418"/>
      <c r="M86" s="418"/>
      <c r="N86" s="418"/>
      <c r="O86" s="148"/>
      <c r="P86" s="125"/>
      <c r="Q86" s="149"/>
      <c r="R86" s="125"/>
      <c r="S86" s="343"/>
      <c r="T86" s="306">
        <f>SUMIF($J$80:$J$83,J86,$S$80:$S$83)</f>
        <v>11759.30571102312</v>
      </c>
      <c r="U86" s="260"/>
      <c r="V86" s="388"/>
      <c r="W86" s="119"/>
      <c r="X86" s="120"/>
    </row>
    <row r="87" spans="1:24" s="118" customFormat="1" ht="12" customHeight="1" x14ac:dyDescent="0.2">
      <c r="A87" s="162"/>
      <c r="B87" s="282" t="s">
        <v>77</v>
      </c>
      <c r="C87" s="283"/>
      <c r="D87" s="385"/>
      <c r="E87" s="284">
        <v>43445</v>
      </c>
      <c r="F87" s="283"/>
      <c r="G87" s="283"/>
      <c r="H87" s="285" t="s">
        <v>120</v>
      </c>
      <c r="I87" s="286" t="s">
        <v>118</v>
      </c>
      <c r="J87" s="283" t="s">
        <v>131</v>
      </c>
      <c r="K87" s="287"/>
      <c r="L87" s="287"/>
      <c r="M87" s="287"/>
      <c r="N87" s="287"/>
      <c r="O87" s="243"/>
      <c r="P87" s="244"/>
      <c r="Q87" s="288"/>
      <c r="R87" s="244"/>
      <c r="S87" s="344"/>
      <c r="T87" s="318">
        <f>SUMIF($J$80:$J$83,J87,$S$80:$S$83)</f>
        <v>773.27780958768744</v>
      </c>
      <c r="U87" s="281"/>
      <c r="V87" s="388"/>
      <c r="W87" s="119"/>
      <c r="X87" s="120"/>
    </row>
    <row r="88" spans="1:24" s="118" customFormat="1" ht="12" customHeight="1" x14ac:dyDescent="0.2">
      <c r="A88" s="162"/>
      <c r="B88" s="151" t="s">
        <v>79</v>
      </c>
      <c r="C88" s="59"/>
      <c r="D88" s="377">
        <v>43445</v>
      </c>
      <c r="E88" s="152">
        <v>43445</v>
      </c>
      <c r="F88" s="59"/>
      <c r="G88" s="59"/>
      <c r="H88" s="56" t="s">
        <v>37</v>
      </c>
      <c r="I88" s="121" t="s">
        <v>26</v>
      </c>
      <c r="J88" s="56" t="s">
        <v>29</v>
      </c>
      <c r="K88" s="122">
        <v>341</v>
      </c>
      <c r="L88" s="176" t="s">
        <v>62</v>
      </c>
      <c r="M88" s="123" t="s">
        <v>55</v>
      </c>
      <c r="N88" s="123" t="s">
        <v>115</v>
      </c>
      <c r="O88" s="153"/>
      <c r="P88" s="125"/>
      <c r="Q88" s="57"/>
      <c r="R88" s="125"/>
      <c r="S88" s="345"/>
      <c r="T88" s="308">
        <f>314318</f>
        <v>314318</v>
      </c>
      <c r="U88" s="15"/>
      <c r="V88" s="388"/>
      <c r="W88" s="119"/>
      <c r="X88" s="120"/>
    </row>
    <row r="89" spans="1:24" s="118" customFormat="1" ht="12" customHeight="1" x14ac:dyDescent="0.2">
      <c r="A89" s="162"/>
      <c r="B89" s="202" t="s">
        <v>79</v>
      </c>
      <c r="C89" s="203"/>
      <c r="D89" s="378">
        <v>43445</v>
      </c>
      <c r="E89" s="204">
        <v>43445</v>
      </c>
      <c r="F89" s="203"/>
      <c r="G89" s="203"/>
      <c r="H89" s="184" t="s">
        <v>141</v>
      </c>
      <c r="I89" s="184" t="s">
        <v>26</v>
      </c>
      <c r="J89" s="182" t="s">
        <v>29</v>
      </c>
      <c r="K89" s="185">
        <v>341</v>
      </c>
      <c r="L89" s="186" t="s">
        <v>62</v>
      </c>
      <c r="M89" s="187" t="s">
        <v>55</v>
      </c>
      <c r="N89" s="187" t="s">
        <v>115</v>
      </c>
      <c r="O89" s="205"/>
      <c r="P89" s="188"/>
      <c r="Q89" s="189"/>
      <c r="R89" s="188"/>
      <c r="S89" s="332"/>
      <c r="T89" s="295">
        <v>180770.63</v>
      </c>
      <c r="U89" s="203"/>
      <c r="V89" s="388"/>
      <c r="W89" s="119"/>
      <c r="X89" s="120"/>
    </row>
    <row r="90" spans="1:24" s="118" customFormat="1" ht="12" customHeight="1" x14ac:dyDescent="0.2">
      <c r="A90" s="162"/>
      <c r="B90" s="126" t="s">
        <v>76</v>
      </c>
      <c r="C90" s="117"/>
      <c r="D90" s="377">
        <v>43445</v>
      </c>
      <c r="E90" s="145">
        <v>43445</v>
      </c>
      <c r="F90" s="117"/>
      <c r="G90" s="117"/>
      <c r="H90" s="121" t="s">
        <v>109</v>
      </c>
      <c r="I90" s="121" t="s">
        <v>110</v>
      </c>
      <c r="J90" s="121" t="s">
        <v>111</v>
      </c>
      <c r="K90" s="122">
        <v>41</v>
      </c>
      <c r="L90" s="176" t="s">
        <v>112</v>
      </c>
      <c r="M90" s="123" t="s">
        <v>113</v>
      </c>
      <c r="N90" s="123" t="s">
        <v>114</v>
      </c>
      <c r="O90" s="57"/>
      <c r="P90" s="125"/>
      <c r="Q90" s="57"/>
      <c r="R90" s="125"/>
      <c r="S90" s="345"/>
      <c r="T90" s="308">
        <f>MIN(T79-SUM(T80:T85,T88:T89))</f>
        <v>4328724.7221864089</v>
      </c>
      <c r="U90" s="178">
        <f>SUM($T$48,$T$34,$T$60,$T$76,$T$90)</f>
        <v>12254372.870564759</v>
      </c>
      <c r="V90" s="388"/>
      <c r="W90" s="119"/>
      <c r="X90" s="120"/>
    </row>
    <row r="91" spans="1:24" s="118" customFormat="1" ht="12" customHeight="1" x14ac:dyDescent="0.2">
      <c r="A91" s="162"/>
      <c r="B91" s="226" t="s">
        <v>116</v>
      </c>
      <c r="C91" s="218"/>
      <c r="D91" s="384"/>
      <c r="E91" s="219"/>
      <c r="F91" s="218"/>
      <c r="G91" s="218"/>
      <c r="H91" s="220"/>
      <c r="I91" s="220"/>
      <c r="J91" s="220"/>
      <c r="K91" s="221"/>
      <c r="L91" s="222"/>
      <c r="M91" s="223"/>
      <c r="N91" s="223"/>
      <c r="O91" s="224"/>
      <c r="P91" s="225"/>
      <c r="Q91" s="224"/>
      <c r="R91" s="225"/>
      <c r="S91" s="346"/>
      <c r="T91" s="309">
        <f>T79-SUM(T80:T85,T88:T90)</f>
        <v>0</v>
      </c>
      <c r="U91" s="224"/>
      <c r="V91" s="388"/>
      <c r="W91" s="291" t="s">
        <v>156</v>
      </c>
      <c r="X91" s="291" t="s">
        <v>157</v>
      </c>
    </row>
    <row r="92" spans="1:24" s="118" customFormat="1" ht="12" customHeight="1" x14ac:dyDescent="0.2">
      <c r="A92" s="162"/>
      <c r="B92" s="60" t="s">
        <v>101</v>
      </c>
      <c r="C92" s="61">
        <v>197</v>
      </c>
      <c r="D92" s="61"/>
      <c r="E92" s="62">
        <v>43448</v>
      </c>
      <c r="F92" s="63">
        <v>1006.55911363</v>
      </c>
      <c r="G92" s="64">
        <v>700</v>
      </c>
      <c r="H92" s="65" t="s">
        <v>101</v>
      </c>
      <c r="I92" s="65"/>
      <c r="J92" s="65"/>
      <c r="K92" s="66"/>
      <c r="L92" s="66"/>
      <c r="M92" s="67"/>
      <c r="N92" s="66"/>
      <c r="O92" s="60"/>
      <c r="P92" s="68"/>
      <c r="Q92" s="69"/>
      <c r="R92" s="68"/>
      <c r="S92" s="347"/>
      <c r="T92" s="292">
        <f>TRUNC(F92*G92,2)</f>
        <v>704591.37</v>
      </c>
      <c r="U92" s="60"/>
      <c r="V92" s="388"/>
      <c r="W92" s="292">
        <v>704591.37</v>
      </c>
      <c r="X92" s="292"/>
    </row>
    <row r="93" spans="1:24" s="118" customFormat="1" ht="12" customHeight="1" x14ac:dyDescent="0.2">
      <c r="A93" s="162"/>
      <c r="B93" s="133" t="s">
        <v>101</v>
      </c>
      <c r="C93" s="134" t="s">
        <v>116</v>
      </c>
      <c r="D93" s="134"/>
      <c r="E93" s="62">
        <v>43448</v>
      </c>
      <c r="F93" s="137"/>
      <c r="G93" s="138"/>
      <c r="H93" s="139" t="s">
        <v>117</v>
      </c>
      <c r="I93" s="139"/>
      <c r="J93" s="139"/>
      <c r="K93" s="140"/>
      <c r="L93" s="140"/>
      <c r="M93" s="141"/>
      <c r="N93" s="140"/>
      <c r="O93" s="133"/>
      <c r="P93" s="142"/>
      <c r="Q93" s="143"/>
      <c r="R93" s="142"/>
      <c r="S93" s="348"/>
      <c r="T93" s="293">
        <f>SUM(T92)</f>
        <v>704591.37</v>
      </c>
      <c r="U93" s="133"/>
      <c r="V93" s="388"/>
      <c r="W93" s="293">
        <v>704591.37</v>
      </c>
      <c r="X93" s="293">
        <f>T93-W93</f>
        <v>0</v>
      </c>
    </row>
    <row r="94" spans="1:24" s="118" customFormat="1" ht="12" customHeight="1" x14ac:dyDescent="0.2">
      <c r="A94" s="162"/>
      <c r="B94" s="44" t="s">
        <v>76</v>
      </c>
      <c r="C94" s="23"/>
      <c r="D94" s="43">
        <v>43451</v>
      </c>
      <c r="E94" s="43">
        <v>43448</v>
      </c>
      <c r="F94" s="23"/>
      <c r="G94" s="23"/>
      <c r="H94" s="38" t="s">
        <v>8</v>
      </c>
      <c r="I94" s="38" t="s">
        <v>58</v>
      </c>
      <c r="J94" s="25" t="s">
        <v>52</v>
      </c>
      <c r="K94" s="42">
        <v>341</v>
      </c>
      <c r="L94" s="41" t="s">
        <v>62</v>
      </c>
      <c r="M94" s="40" t="s">
        <v>55</v>
      </c>
      <c r="N94" s="42" t="s">
        <v>53</v>
      </c>
      <c r="O94" s="44">
        <f>T93*0.5%</f>
        <v>3522.95685</v>
      </c>
      <c r="P94" s="39">
        <v>0.1115</v>
      </c>
      <c r="Q94" s="27">
        <f>O94/(1-P94)</f>
        <v>3965.0611705120991</v>
      </c>
      <c r="R94" s="39">
        <v>6.1499999999999999E-2</v>
      </c>
      <c r="S94" s="331">
        <f t="shared" ref="S94:S97" si="15">R94*Q94</f>
        <v>243.85126198649408</v>
      </c>
      <c r="T94" s="294">
        <f t="shared" ref="T94:T97" si="16">Q94*(1-R94)</f>
        <v>3721.209908525605</v>
      </c>
      <c r="U94" s="26"/>
      <c r="V94" s="388"/>
      <c r="W94" s="294">
        <v>3721.209908525605</v>
      </c>
      <c r="X94" s="294">
        <f t="shared" ref="X94:X104" si="17">T94-W94</f>
        <v>0</v>
      </c>
    </row>
    <row r="95" spans="1:24" s="118" customFormat="1" ht="12" customHeight="1" x14ac:dyDescent="0.2">
      <c r="A95" s="162"/>
      <c r="B95" s="202" t="s">
        <v>76</v>
      </c>
      <c r="C95" s="203"/>
      <c r="D95" s="204">
        <v>43451</v>
      </c>
      <c r="E95" s="204">
        <v>43448</v>
      </c>
      <c r="F95" s="203"/>
      <c r="G95" s="203"/>
      <c r="H95" s="184" t="s">
        <v>60</v>
      </c>
      <c r="I95" s="184" t="s">
        <v>58</v>
      </c>
      <c r="J95" s="182" t="s">
        <v>52</v>
      </c>
      <c r="K95" s="185">
        <v>341</v>
      </c>
      <c r="L95" s="186" t="s">
        <v>62</v>
      </c>
      <c r="M95" s="187" t="s">
        <v>55</v>
      </c>
      <c r="N95" s="185" t="s">
        <v>53</v>
      </c>
      <c r="O95" s="181">
        <f>(T93*2.2%)</f>
        <v>15501.010140000002</v>
      </c>
      <c r="P95" s="188">
        <v>0.1115</v>
      </c>
      <c r="Q95" s="189">
        <f>O95/(1-P95)-Q97</f>
        <v>15684.79072525324</v>
      </c>
      <c r="R95" s="188">
        <v>6.1499999999999999E-2</v>
      </c>
      <c r="S95" s="332">
        <f t="shared" si="15"/>
        <v>964.61462960307426</v>
      </c>
      <c r="T95" s="295">
        <f t="shared" si="16"/>
        <v>14720.176095650166</v>
      </c>
      <c r="U95" s="213"/>
      <c r="V95" s="388"/>
      <c r="W95" s="295">
        <v>14720.176095650166</v>
      </c>
      <c r="X95" s="295">
        <f t="shared" si="17"/>
        <v>0</v>
      </c>
    </row>
    <row r="96" spans="1:24" s="118" customFormat="1" ht="12" customHeight="1" x14ac:dyDescent="0.2">
      <c r="A96" s="162"/>
      <c r="B96" s="44" t="s">
        <v>76</v>
      </c>
      <c r="C96" s="23"/>
      <c r="D96" s="43">
        <v>43451</v>
      </c>
      <c r="E96" s="43">
        <v>43448</v>
      </c>
      <c r="F96" s="23"/>
      <c r="G96" s="23"/>
      <c r="H96" s="38" t="s">
        <v>122</v>
      </c>
      <c r="I96" s="38" t="s">
        <v>58</v>
      </c>
      <c r="J96" s="25" t="s">
        <v>52</v>
      </c>
      <c r="K96" s="42">
        <v>341</v>
      </c>
      <c r="L96" s="41" t="s">
        <v>62</v>
      </c>
      <c r="M96" s="40" t="s">
        <v>55</v>
      </c>
      <c r="N96" s="42" t="s">
        <v>53</v>
      </c>
      <c r="O96" s="58">
        <f>0.9%*T93</f>
        <v>6341.3223300000009</v>
      </c>
      <c r="P96" s="39">
        <v>0.1115</v>
      </c>
      <c r="Q96" s="27">
        <f>O96/(1-P96)</f>
        <v>7137.1101069217793</v>
      </c>
      <c r="R96" s="39">
        <v>6.1499999999999999E-2</v>
      </c>
      <c r="S96" s="331">
        <f t="shared" si="15"/>
        <v>438.93227157568941</v>
      </c>
      <c r="T96" s="294">
        <f t="shared" si="16"/>
        <v>6698.1778353460895</v>
      </c>
      <c r="U96" s="27"/>
      <c r="V96" s="388"/>
      <c r="W96" s="294">
        <v>6698.1778353460895</v>
      </c>
      <c r="X96" s="294">
        <f t="shared" si="17"/>
        <v>0</v>
      </c>
    </row>
    <row r="97" spans="1:24" s="118" customFormat="1" ht="12" customHeight="1" x14ac:dyDescent="0.2">
      <c r="A97" s="162"/>
      <c r="B97" s="191" t="s">
        <v>78</v>
      </c>
      <c r="C97" s="192"/>
      <c r="D97" s="194"/>
      <c r="E97" s="193">
        <v>43448</v>
      </c>
      <c r="F97" s="203"/>
      <c r="G97" s="203"/>
      <c r="H97" s="192" t="s">
        <v>108</v>
      </c>
      <c r="I97" s="192" t="s">
        <v>118</v>
      </c>
      <c r="J97" s="192" t="s">
        <v>131</v>
      </c>
      <c r="K97" s="194"/>
      <c r="L97" s="194"/>
      <c r="M97" s="195"/>
      <c r="N97" s="194"/>
      <c r="O97" s="191"/>
      <c r="P97" s="196"/>
      <c r="Q97" s="191">
        <f>0.25%*T93</f>
        <v>1761.478425</v>
      </c>
      <c r="R97" s="196">
        <v>6.1499999999999999E-2</v>
      </c>
      <c r="S97" s="333">
        <f t="shared" si="15"/>
        <v>108.33092313749999</v>
      </c>
      <c r="T97" s="296">
        <f t="shared" si="16"/>
        <v>1653.1475018625001</v>
      </c>
      <c r="U97" s="213"/>
      <c r="V97" s="388"/>
      <c r="W97" s="296">
        <v>1653.1475018625001</v>
      </c>
      <c r="X97" s="296">
        <f t="shared" si="17"/>
        <v>0</v>
      </c>
    </row>
    <row r="98" spans="1:24" s="118" customFormat="1" ht="12" customHeight="1" x14ac:dyDescent="0.2">
      <c r="A98" s="162"/>
      <c r="B98" s="254"/>
      <c r="C98" s="255"/>
      <c r="D98" s="368"/>
      <c r="E98" s="256"/>
      <c r="F98" s="255"/>
      <c r="G98" s="255"/>
      <c r="H98" s="256" t="s">
        <v>40</v>
      </c>
      <c r="I98" s="256" t="s">
        <v>26</v>
      </c>
      <c r="J98" s="256"/>
      <c r="K98" s="420"/>
      <c r="L98" s="420"/>
      <c r="M98" s="420"/>
      <c r="N98" s="420"/>
      <c r="O98" s="257"/>
      <c r="P98" s="258"/>
      <c r="Q98" s="257"/>
      <c r="R98" s="258"/>
      <c r="S98" s="349"/>
      <c r="T98" s="310">
        <f>SUM(T99:T100)</f>
        <v>1755.7290863027577</v>
      </c>
      <c r="U98" s="259"/>
      <c r="V98" s="388"/>
      <c r="W98" s="310">
        <f>SUM(W99:W100)</f>
        <v>12532.583520610808</v>
      </c>
      <c r="X98" s="310">
        <f t="shared" si="17"/>
        <v>-10776.85443430805</v>
      </c>
    </row>
    <row r="99" spans="1:24" s="118" customFormat="1" ht="12" customHeight="1" x14ac:dyDescent="0.2">
      <c r="A99" s="162"/>
      <c r="B99" s="237" t="s">
        <v>77</v>
      </c>
      <c r="C99" s="56"/>
      <c r="D99" s="122"/>
      <c r="E99" s="145">
        <v>43448</v>
      </c>
      <c r="F99" s="56"/>
      <c r="G99" s="56"/>
      <c r="H99" s="146" t="s">
        <v>59</v>
      </c>
      <c r="I99" s="147" t="s">
        <v>58</v>
      </c>
      <c r="J99" s="147" t="s">
        <v>52</v>
      </c>
      <c r="K99" s="418"/>
      <c r="L99" s="418"/>
      <c r="M99" s="418"/>
      <c r="N99" s="418"/>
      <c r="O99" s="148"/>
      <c r="P99" s="125"/>
      <c r="Q99" s="149"/>
      <c r="R99" s="125"/>
      <c r="S99" s="343"/>
      <c r="T99" s="306">
        <f>SUMIF($J$94:$J$97,J99,$S$94:$S$97)</f>
        <v>1647.3981631652578</v>
      </c>
      <c r="U99" s="260"/>
      <c r="V99" s="388"/>
      <c r="W99" s="306">
        <f>SUMIF($J$80:$J$83,J99,$S$80:$S$83)</f>
        <v>11759.30571102312</v>
      </c>
      <c r="X99" s="306">
        <f t="shared" si="17"/>
        <v>-10111.907547857863</v>
      </c>
    </row>
    <row r="100" spans="1:24" s="118" customFormat="1" ht="12" customHeight="1" x14ac:dyDescent="0.2">
      <c r="A100" s="162"/>
      <c r="B100" s="282" t="s">
        <v>77</v>
      </c>
      <c r="C100" s="283"/>
      <c r="D100" s="385"/>
      <c r="E100" s="284">
        <v>43448</v>
      </c>
      <c r="F100" s="283"/>
      <c r="G100" s="283"/>
      <c r="H100" s="285" t="s">
        <v>120</v>
      </c>
      <c r="I100" s="286" t="s">
        <v>118</v>
      </c>
      <c r="J100" s="283" t="s">
        <v>131</v>
      </c>
      <c r="K100" s="287"/>
      <c r="L100" s="287"/>
      <c r="M100" s="287"/>
      <c r="N100" s="287"/>
      <c r="O100" s="243"/>
      <c r="P100" s="244"/>
      <c r="Q100" s="288"/>
      <c r="R100" s="244"/>
      <c r="S100" s="344"/>
      <c r="T100" s="318">
        <f>SUMIF($J$94:$J$97,J100,$S$94:$S$97)</f>
        <v>108.33092313749999</v>
      </c>
      <c r="U100" s="281"/>
      <c r="V100" s="388"/>
      <c r="W100" s="318">
        <f>SUMIF($J$80:$J$83,J100,$S$80:$S$83)</f>
        <v>773.27780958768744</v>
      </c>
      <c r="X100" s="318">
        <f t="shared" si="17"/>
        <v>-664.94688645018744</v>
      </c>
    </row>
    <row r="101" spans="1:24" s="118" customFormat="1" ht="12" customHeight="1" x14ac:dyDescent="0.2">
      <c r="A101" s="162"/>
      <c r="B101" s="151" t="s">
        <v>79</v>
      </c>
      <c r="C101" s="59"/>
      <c r="D101" s="377">
        <v>43458</v>
      </c>
      <c r="E101" s="152">
        <v>43448</v>
      </c>
      <c r="F101" s="59"/>
      <c r="G101" s="59"/>
      <c r="H101" s="56" t="s">
        <v>37</v>
      </c>
      <c r="I101" s="121" t="s">
        <v>26</v>
      </c>
      <c r="J101" s="56" t="s">
        <v>29</v>
      </c>
      <c r="K101" s="122">
        <v>341</v>
      </c>
      <c r="L101" s="176" t="s">
        <v>62</v>
      </c>
      <c r="M101" s="123" t="s">
        <v>55</v>
      </c>
      <c r="N101" s="123" t="s">
        <v>115</v>
      </c>
      <c r="O101" s="153"/>
      <c r="P101" s="125"/>
      <c r="Q101" s="57"/>
      <c r="R101" s="125"/>
      <c r="S101" s="345"/>
      <c r="T101" s="308">
        <v>40977.67</v>
      </c>
      <c r="U101" s="15"/>
      <c r="V101" s="388"/>
      <c r="W101" s="308">
        <v>40977.67</v>
      </c>
      <c r="X101" s="308">
        <f t="shared" si="17"/>
        <v>0</v>
      </c>
    </row>
    <row r="102" spans="1:24" s="118" customFormat="1" ht="12" customHeight="1" x14ac:dyDescent="0.2">
      <c r="A102" s="162"/>
      <c r="B102" s="202" t="s">
        <v>79</v>
      </c>
      <c r="C102" s="203"/>
      <c r="D102" s="204">
        <v>43458</v>
      </c>
      <c r="E102" s="204">
        <v>43448</v>
      </c>
      <c r="F102" s="203"/>
      <c r="G102" s="203"/>
      <c r="H102" s="184" t="s">
        <v>141</v>
      </c>
      <c r="I102" s="184" t="s">
        <v>26</v>
      </c>
      <c r="J102" s="182" t="s">
        <v>29</v>
      </c>
      <c r="K102" s="185">
        <v>341</v>
      </c>
      <c r="L102" s="186" t="s">
        <v>62</v>
      </c>
      <c r="M102" s="187" t="s">
        <v>55</v>
      </c>
      <c r="N102" s="187" t="s">
        <v>115</v>
      </c>
      <c r="O102" s="205"/>
      <c r="P102" s="188"/>
      <c r="Q102" s="189"/>
      <c r="R102" s="188"/>
      <c r="S102" s="332"/>
      <c r="T102" s="295">
        <v>13567.53</v>
      </c>
      <c r="U102" s="203"/>
      <c r="V102" s="388"/>
      <c r="W102" s="295">
        <v>13567.53</v>
      </c>
      <c r="X102" s="295">
        <f t="shared" si="17"/>
        <v>0</v>
      </c>
    </row>
    <row r="103" spans="1:24" s="118" customFormat="1" ht="12" customHeight="1" x14ac:dyDescent="0.2">
      <c r="A103" s="162"/>
      <c r="B103" s="126" t="s">
        <v>76</v>
      </c>
      <c r="C103" s="117"/>
      <c r="D103" s="377">
        <v>43451</v>
      </c>
      <c r="E103" s="145">
        <v>43448</v>
      </c>
      <c r="F103" s="117"/>
      <c r="G103" s="117"/>
      <c r="H103" s="121" t="s">
        <v>109</v>
      </c>
      <c r="I103" s="121" t="s">
        <v>110</v>
      </c>
      <c r="J103" s="121" t="s">
        <v>111</v>
      </c>
      <c r="K103" s="122">
        <v>41</v>
      </c>
      <c r="L103" s="176" t="s">
        <v>112</v>
      </c>
      <c r="M103" s="123" t="s">
        <v>113</v>
      </c>
      <c r="N103" s="123" t="s">
        <v>114</v>
      </c>
      <c r="O103" s="57"/>
      <c r="P103" s="125"/>
      <c r="Q103" s="57"/>
      <c r="R103" s="125"/>
      <c r="S103" s="345"/>
      <c r="T103" s="308">
        <f>MIN(T93-SUM(T94:T98,T101:T102))</f>
        <v>621497.72957231291</v>
      </c>
      <c r="U103" s="178">
        <f>SUM($T$48,$T$34,$T$60,$T$76,$T$90,$W$103)</f>
        <v>12865093.745702764</v>
      </c>
      <c r="V103" s="388"/>
      <c r="W103" s="308">
        <v>610720.87513800478</v>
      </c>
      <c r="X103" s="308">
        <f t="shared" si="17"/>
        <v>10776.85443430813</v>
      </c>
    </row>
    <row r="104" spans="1:24" s="118" customFormat="1" ht="12" customHeight="1" x14ac:dyDescent="0.2">
      <c r="A104" s="162"/>
      <c r="B104" s="226" t="s">
        <v>116</v>
      </c>
      <c r="C104" s="218"/>
      <c r="D104" s="384"/>
      <c r="E104" s="219"/>
      <c r="F104" s="218"/>
      <c r="G104" s="218"/>
      <c r="H104" s="220"/>
      <c r="I104" s="220"/>
      <c r="J104" s="220"/>
      <c r="K104" s="221"/>
      <c r="L104" s="222"/>
      <c r="M104" s="223"/>
      <c r="N104" s="223"/>
      <c r="O104" s="224"/>
      <c r="P104" s="225"/>
      <c r="Q104" s="224"/>
      <c r="R104" s="225"/>
      <c r="S104" s="346"/>
      <c r="T104" s="309">
        <f>T93-SUM(T94:T98,T101:T103)</f>
        <v>0</v>
      </c>
      <c r="U104" s="224"/>
      <c r="V104" s="388"/>
      <c r="W104" s="309">
        <v>0</v>
      </c>
      <c r="X104" s="309">
        <f t="shared" si="17"/>
        <v>0</v>
      </c>
    </row>
    <row r="105" spans="1:24" s="118" customFormat="1" ht="12" customHeight="1" x14ac:dyDescent="0.2">
      <c r="A105" s="160">
        <v>8</v>
      </c>
      <c r="B105" s="44" t="s">
        <v>76</v>
      </c>
      <c r="C105" s="117"/>
      <c r="D105" s="377">
        <v>43452</v>
      </c>
      <c r="E105" s="145">
        <v>43451</v>
      </c>
      <c r="F105" s="117"/>
      <c r="G105" s="329"/>
      <c r="H105" s="38" t="s">
        <v>108</v>
      </c>
      <c r="I105" s="121" t="s">
        <v>118</v>
      </c>
      <c r="J105" s="121" t="s">
        <v>131</v>
      </c>
      <c r="K105" s="122">
        <v>341</v>
      </c>
      <c r="L105" s="176" t="s">
        <v>62</v>
      </c>
      <c r="M105" s="123">
        <v>7463</v>
      </c>
      <c r="N105" s="123" t="s">
        <v>155</v>
      </c>
      <c r="O105" s="57"/>
      <c r="P105" s="125"/>
      <c r="Q105" s="27">
        <f>Originador!Q16</f>
        <v>35108.933094252498</v>
      </c>
      <c r="R105" s="39">
        <v>6.1499999999999999E-2</v>
      </c>
      <c r="S105" s="331">
        <f t="shared" ref="S105:S106" si="18">R105*Q105</f>
        <v>2159.1993852965284</v>
      </c>
      <c r="T105" s="330">
        <f t="shared" ref="T105:T106" si="19">Q105*(1-R105)</f>
        <v>32949.733708955966</v>
      </c>
      <c r="U105" s="126" t="s">
        <v>144</v>
      </c>
      <c r="V105" s="388"/>
      <c r="W105" s="119"/>
      <c r="X105" s="120"/>
    </row>
    <row r="106" spans="1:24" s="118" customFormat="1" ht="12" customHeight="1" x14ac:dyDescent="0.2">
      <c r="A106" s="162"/>
      <c r="B106" s="202" t="s">
        <v>76</v>
      </c>
      <c r="C106" s="203"/>
      <c r="D106" s="378">
        <v>43452</v>
      </c>
      <c r="E106" s="204">
        <v>43451</v>
      </c>
      <c r="F106" s="203"/>
      <c r="G106" s="203"/>
      <c r="H106" s="184" t="s">
        <v>136</v>
      </c>
      <c r="I106" s="184" t="s">
        <v>58</v>
      </c>
      <c r="J106" s="182" t="s">
        <v>52</v>
      </c>
      <c r="K106" s="185">
        <v>341</v>
      </c>
      <c r="L106" s="186" t="s">
        <v>62</v>
      </c>
      <c r="M106" s="187" t="s">
        <v>55</v>
      </c>
      <c r="N106" s="185" t="s">
        <v>53</v>
      </c>
      <c r="O106" s="181"/>
      <c r="P106" s="188"/>
      <c r="Q106" s="189">
        <f>Y66-Q66</f>
        <v>2375</v>
      </c>
      <c r="R106" s="188">
        <v>6.1499999999999999E-2</v>
      </c>
      <c r="S106" s="332">
        <f t="shared" si="18"/>
        <v>146.0625</v>
      </c>
      <c r="T106" s="295">
        <f t="shared" si="19"/>
        <v>2228.9375</v>
      </c>
      <c r="U106" s="202" t="s">
        <v>145</v>
      </c>
      <c r="V106" s="388"/>
      <c r="W106" s="119"/>
      <c r="X106" s="120"/>
    </row>
    <row r="107" spans="1:24" s="118" customFormat="1" ht="12" customHeight="1" x14ac:dyDescent="0.2">
      <c r="A107" s="162"/>
      <c r="B107" s="126" t="s">
        <v>76</v>
      </c>
      <c r="C107" s="117"/>
      <c r="D107" s="377">
        <v>43452</v>
      </c>
      <c r="E107" s="145">
        <v>43451</v>
      </c>
      <c r="F107" s="117"/>
      <c r="G107" s="117"/>
      <c r="H107" s="121" t="s">
        <v>109</v>
      </c>
      <c r="I107" s="121" t="s">
        <v>110</v>
      </c>
      <c r="J107" s="121" t="s">
        <v>111</v>
      </c>
      <c r="K107" s="122">
        <v>41</v>
      </c>
      <c r="L107" s="176" t="s">
        <v>112</v>
      </c>
      <c r="M107" s="123" t="s">
        <v>113</v>
      </c>
      <c r="N107" s="123" t="s">
        <v>114</v>
      </c>
      <c r="O107" s="57"/>
      <c r="P107" s="125"/>
      <c r="Q107" s="57"/>
      <c r="R107" s="125"/>
      <c r="S107" s="345"/>
      <c r="T107" s="308">
        <f>T28</f>
        <v>922.5</v>
      </c>
      <c r="U107" s="126" t="s">
        <v>143</v>
      </c>
      <c r="V107" s="388"/>
      <c r="W107" s="355">
        <f>U103+T107</f>
        <v>12866016.245702764</v>
      </c>
      <c r="X107" s="120"/>
    </row>
    <row r="108" spans="1:24" s="118" customFormat="1" ht="12" customHeight="1" x14ac:dyDescent="0.2">
      <c r="A108" s="162"/>
      <c r="B108" s="357" t="s">
        <v>101</v>
      </c>
      <c r="C108" s="358" t="s">
        <v>106</v>
      </c>
      <c r="D108" s="358"/>
      <c r="E108" s="360">
        <v>43454</v>
      </c>
      <c r="F108" s="361">
        <v>992.37856118000002</v>
      </c>
      <c r="G108" s="362">
        <v>1550</v>
      </c>
      <c r="H108" s="359" t="s">
        <v>101</v>
      </c>
      <c r="I108" s="359"/>
      <c r="J108" s="359"/>
      <c r="K108" s="358"/>
      <c r="L108" s="358"/>
      <c r="M108" s="363"/>
      <c r="N108" s="358"/>
      <c r="O108" s="357"/>
      <c r="P108" s="364"/>
      <c r="Q108" s="357"/>
      <c r="R108" s="364"/>
      <c r="S108" s="365"/>
      <c r="T108" s="366">
        <f>TRUNC(F108*G108,2)</f>
        <v>1538186.76</v>
      </c>
      <c r="U108" s="357"/>
      <c r="V108" s="388"/>
      <c r="W108" s="119"/>
      <c r="X108" s="120"/>
    </row>
    <row r="109" spans="1:24" s="118" customFormat="1" ht="12" customHeight="1" x14ac:dyDescent="0.2">
      <c r="A109" s="162"/>
      <c r="B109" s="133" t="s">
        <v>101</v>
      </c>
      <c r="C109" s="134" t="s">
        <v>116</v>
      </c>
      <c r="D109" s="134"/>
      <c r="E109" s="62">
        <v>43454</v>
      </c>
      <c r="F109" s="137"/>
      <c r="G109" s="138"/>
      <c r="H109" s="139" t="s">
        <v>117</v>
      </c>
      <c r="I109" s="139"/>
      <c r="J109" s="139"/>
      <c r="K109" s="140"/>
      <c r="L109" s="140"/>
      <c r="M109" s="141"/>
      <c r="N109" s="140"/>
      <c r="O109" s="133"/>
      <c r="P109" s="142"/>
      <c r="Q109" s="143"/>
      <c r="R109" s="142"/>
      <c r="S109" s="348"/>
      <c r="T109" s="293">
        <f>SUM(T108)</f>
        <v>1538186.76</v>
      </c>
      <c r="U109" s="133"/>
      <c r="V109" s="388"/>
      <c r="W109" s="119"/>
      <c r="X109" s="120"/>
    </row>
    <row r="110" spans="1:24" s="118" customFormat="1" ht="12" customHeight="1" x14ac:dyDescent="0.2">
      <c r="A110" s="162"/>
      <c r="B110" s="44" t="s">
        <v>76</v>
      </c>
      <c r="C110" s="23"/>
      <c r="D110" s="43">
        <v>43455</v>
      </c>
      <c r="E110" s="43">
        <v>43454</v>
      </c>
      <c r="F110" s="23"/>
      <c r="G110" s="23"/>
      <c r="H110" s="38" t="s">
        <v>8</v>
      </c>
      <c r="I110" s="38" t="s">
        <v>58</v>
      </c>
      <c r="J110" s="25" t="s">
        <v>52</v>
      </c>
      <c r="K110" s="42">
        <v>341</v>
      </c>
      <c r="L110" s="41" t="s">
        <v>62</v>
      </c>
      <c r="M110" s="40" t="s">
        <v>55</v>
      </c>
      <c r="N110" s="42" t="s">
        <v>53</v>
      </c>
      <c r="O110" s="44">
        <f>T109*0.5%</f>
        <v>7690.9337999999998</v>
      </c>
      <c r="P110" s="39">
        <v>0.1115</v>
      </c>
      <c r="Q110" s="27">
        <f>O110/(1-P110)</f>
        <v>8656.0875633089472</v>
      </c>
      <c r="R110" s="39">
        <v>6.1499999999999999E-2</v>
      </c>
      <c r="S110" s="331">
        <f t="shared" ref="S110:S113" si="20">R110*Q110</f>
        <v>532.34938514350029</v>
      </c>
      <c r="T110" s="294">
        <f t="shared" ref="T110:T113" si="21">Q110*(1-R110)</f>
        <v>8123.7381781654467</v>
      </c>
      <c r="U110" s="26"/>
      <c r="V110" s="388"/>
      <c r="W110" s="119"/>
      <c r="X110" s="120"/>
    </row>
    <row r="111" spans="1:24" s="118" customFormat="1" ht="12" customHeight="1" x14ac:dyDescent="0.2">
      <c r="A111" s="162"/>
      <c r="B111" s="202" t="s">
        <v>76</v>
      </c>
      <c r="C111" s="203"/>
      <c r="D111" s="204">
        <v>43455</v>
      </c>
      <c r="E111" s="204">
        <v>43454</v>
      </c>
      <c r="F111" s="203"/>
      <c r="G111" s="203"/>
      <c r="H111" s="184" t="s">
        <v>60</v>
      </c>
      <c r="I111" s="184" t="s">
        <v>58</v>
      </c>
      <c r="J111" s="182" t="s">
        <v>52</v>
      </c>
      <c r="K111" s="185">
        <v>341</v>
      </c>
      <c r="L111" s="186" t="s">
        <v>62</v>
      </c>
      <c r="M111" s="187" t="s">
        <v>55</v>
      </c>
      <c r="N111" s="185" t="s">
        <v>53</v>
      </c>
      <c r="O111" s="181">
        <f>(T109*2.2%)</f>
        <v>33840.108720000004</v>
      </c>
      <c r="P111" s="188">
        <v>0.1115</v>
      </c>
      <c r="Q111" s="189">
        <f>O111/(1-P111)-Q113</f>
        <v>34241.318378559379</v>
      </c>
      <c r="R111" s="188">
        <v>6.1499999999999999E-2</v>
      </c>
      <c r="S111" s="332">
        <f t="shared" si="20"/>
        <v>2105.8410802814019</v>
      </c>
      <c r="T111" s="295">
        <f t="shared" si="21"/>
        <v>32135.477298277976</v>
      </c>
      <c r="U111" s="213"/>
      <c r="V111" s="388"/>
      <c r="W111" s="119"/>
      <c r="X111" s="120"/>
    </row>
    <row r="112" spans="1:24" s="118" customFormat="1" ht="12" customHeight="1" x14ac:dyDescent="0.2">
      <c r="A112" s="162"/>
      <c r="B112" s="44" t="s">
        <v>76</v>
      </c>
      <c r="C112" s="23"/>
      <c r="D112" s="43">
        <v>43455</v>
      </c>
      <c r="E112" s="43">
        <v>43454</v>
      </c>
      <c r="F112" s="23"/>
      <c r="G112" s="23"/>
      <c r="H112" s="38" t="s">
        <v>122</v>
      </c>
      <c r="I112" s="38" t="s">
        <v>58</v>
      </c>
      <c r="J112" s="25" t="s">
        <v>52</v>
      </c>
      <c r="K112" s="42">
        <v>341</v>
      </c>
      <c r="L112" s="41" t="s">
        <v>62</v>
      </c>
      <c r="M112" s="40" t="s">
        <v>55</v>
      </c>
      <c r="N112" s="42" t="s">
        <v>53</v>
      </c>
      <c r="O112" s="58">
        <f>0.9%*T109</f>
        <v>13843.680840000001</v>
      </c>
      <c r="P112" s="39">
        <v>0.1115</v>
      </c>
      <c r="Q112" s="27">
        <f>O112/(1-P112)</f>
        <v>15580.957613956107</v>
      </c>
      <c r="R112" s="39">
        <v>6.1499999999999999E-2</v>
      </c>
      <c r="S112" s="331">
        <f t="shared" si="20"/>
        <v>958.22889325830056</v>
      </c>
      <c r="T112" s="294">
        <f t="shared" si="21"/>
        <v>14622.728720697807</v>
      </c>
      <c r="U112" s="27"/>
      <c r="V112" s="388"/>
      <c r="W112" s="119"/>
      <c r="X112" s="120"/>
    </row>
    <row r="113" spans="1:24" s="118" customFormat="1" ht="12" customHeight="1" x14ac:dyDescent="0.2">
      <c r="A113" s="162"/>
      <c r="B113" s="191" t="s">
        <v>78</v>
      </c>
      <c r="C113" s="192"/>
      <c r="D113" s="193">
        <v>43460</v>
      </c>
      <c r="E113" s="193">
        <v>43454</v>
      </c>
      <c r="F113" s="203"/>
      <c r="G113" s="203"/>
      <c r="H113" s="192" t="s">
        <v>108</v>
      </c>
      <c r="I113" s="192" t="s">
        <v>118</v>
      </c>
      <c r="J113" s="192" t="s">
        <v>131</v>
      </c>
      <c r="K113" s="194"/>
      <c r="L113" s="194"/>
      <c r="M113" s="195"/>
      <c r="N113" s="194"/>
      <c r="O113" s="191"/>
      <c r="P113" s="196"/>
      <c r="Q113" s="191">
        <f>0.25%*T109</f>
        <v>3845.4668999999999</v>
      </c>
      <c r="R113" s="196">
        <v>6.1499999999999999E-2</v>
      </c>
      <c r="S113" s="333">
        <f t="shared" si="20"/>
        <v>236.49621435</v>
      </c>
      <c r="T113" s="296">
        <f t="shared" si="21"/>
        <v>3608.9706856499997</v>
      </c>
      <c r="U113" s="213"/>
      <c r="V113" s="388"/>
      <c r="W113" s="119"/>
      <c r="X113" s="120"/>
    </row>
    <row r="114" spans="1:24" s="118" customFormat="1" ht="12" customHeight="1" x14ac:dyDescent="0.2">
      <c r="A114" s="162"/>
      <c r="B114" s="254"/>
      <c r="C114" s="255"/>
      <c r="D114" s="368"/>
      <c r="E114" s="256"/>
      <c r="F114" s="255"/>
      <c r="G114" s="255"/>
      <c r="H114" s="256" t="s">
        <v>40</v>
      </c>
      <c r="I114" s="256" t="s">
        <v>26</v>
      </c>
      <c r="J114" s="256"/>
      <c r="K114" s="420"/>
      <c r="L114" s="420"/>
      <c r="M114" s="420"/>
      <c r="N114" s="420"/>
      <c r="O114" s="257"/>
      <c r="P114" s="258"/>
      <c r="Q114" s="257"/>
      <c r="R114" s="258"/>
      <c r="S114" s="349"/>
      <c r="T114" s="310">
        <f>SUM(T115:T116)</f>
        <v>3832.9155730332027</v>
      </c>
      <c r="U114" s="259"/>
      <c r="V114" s="388"/>
      <c r="W114" s="119"/>
      <c r="X114" s="356"/>
    </row>
    <row r="115" spans="1:24" s="118" customFormat="1" ht="12" customHeight="1" x14ac:dyDescent="0.2">
      <c r="A115" s="162"/>
      <c r="B115" s="237" t="s">
        <v>77</v>
      </c>
      <c r="C115" s="56"/>
      <c r="D115" s="122"/>
      <c r="E115" s="145">
        <v>43454</v>
      </c>
      <c r="F115" s="56"/>
      <c r="G115" s="56"/>
      <c r="H115" s="146" t="s">
        <v>59</v>
      </c>
      <c r="I115" s="147" t="s">
        <v>58</v>
      </c>
      <c r="J115" s="147" t="s">
        <v>52</v>
      </c>
      <c r="K115" s="418"/>
      <c r="L115" s="418"/>
      <c r="M115" s="418"/>
      <c r="N115" s="418"/>
      <c r="O115" s="148"/>
      <c r="P115" s="125"/>
      <c r="Q115" s="149"/>
      <c r="R115" s="125"/>
      <c r="S115" s="343"/>
      <c r="T115" s="306">
        <f>SUMIF($J$110:$J$113,J115,$S$110:$S$113)</f>
        <v>3596.4193586832025</v>
      </c>
      <c r="U115" s="260"/>
      <c r="V115" s="388"/>
      <c r="W115" s="119"/>
      <c r="X115" s="356"/>
    </row>
    <row r="116" spans="1:24" s="118" customFormat="1" ht="12" customHeight="1" x14ac:dyDescent="0.2">
      <c r="A116" s="162"/>
      <c r="B116" s="282" t="s">
        <v>77</v>
      </c>
      <c r="C116" s="283"/>
      <c r="D116" s="385"/>
      <c r="E116" s="284">
        <v>43454</v>
      </c>
      <c r="F116" s="283"/>
      <c r="G116" s="283"/>
      <c r="H116" s="285" t="s">
        <v>120</v>
      </c>
      <c r="I116" s="286" t="s">
        <v>118</v>
      </c>
      <c r="J116" s="283" t="s">
        <v>131</v>
      </c>
      <c r="K116" s="287"/>
      <c r="L116" s="287"/>
      <c r="M116" s="287"/>
      <c r="N116" s="287"/>
      <c r="O116" s="243"/>
      <c r="P116" s="244"/>
      <c r="Q116" s="288"/>
      <c r="R116" s="244"/>
      <c r="S116" s="344"/>
      <c r="T116" s="318">
        <f>SUMIF($J$110:$J$113,J116,$S$110:$S$113)</f>
        <v>236.49621435</v>
      </c>
      <c r="U116" s="281"/>
      <c r="V116" s="388"/>
      <c r="W116" s="119"/>
      <c r="X116" s="356"/>
    </row>
    <row r="117" spans="1:24" s="118" customFormat="1" ht="12" customHeight="1" x14ac:dyDescent="0.2">
      <c r="A117" s="162"/>
      <c r="B117" s="254" t="s">
        <v>79</v>
      </c>
      <c r="C117" s="203"/>
      <c r="D117" s="378">
        <v>43458</v>
      </c>
      <c r="E117" s="204">
        <v>43454</v>
      </c>
      <c r="F117" s="203"/>
      <c r="G117" s="203"/>
      <c r="H117" s="182" t="s">
        <v>37</v>
      </c>
      <c r="I117" s="184" t="s">
        <v>26</v>
      </c>
      <c r="J117" s="182" t="s">
        <v>29</v>
      </c>
      <c r="K117" s="185">
        <v>341</v>
      </c>
      <c r="L117" s="186" t="s">
        <v>62</v>
      </c>
      <c r="M117" s="187" t="s">
        <v>55</v>
      </c>
      <c r="N117" s="187" t="s">
        <v>115</v>
      </c>
      <c r="O117" s="205"/>
      <c r="P117" s="188"/>
      <c r="Q117" s="189"/>
      <c r="R117" s="188"/>
      <c r="S117" s="332"/>
      <c r="T117" s="295">
        <v>77216.89</v>
      </c>
      <c r="U117" s="203"/>
      <c r="V117" s="388"/>
      <c r="W117" s="119"/>
      <c r="X117" s="120"/>
    </row>
    <row r="118" spans="1:24" s="118" customFormat="1" ht="12" customHeight="1" x14ac:dyDescent="0.2">
      <c r="A118" s="162"/>
      <c r="B118" s="126" t="s">
        <v>76</v>
      </c>
      <c r="C118" s="117"/>
      <c r="D118" s="377">
        <v>43455</v>
      </c>
      <c r="E118" s="145">
        <v>43454</v>
      </c>
      <c r="F118" s="117"/>
      <c r="G118" s="117"/>
      <c r="H118" s="121" t="s">
        <v>109</v>
      </c>
      <c r="I118" s="121" t="s">
        <v>110</v>
      </c>
      <c r="J118" s="121" t="s">
        <v>111</v>
      </c>
      <c r="K118" s="122">
        <v>41</v>
      </c>
      <c r="L118" s="176" t="s">
        <v>112</v>
      </c>
      <c r="M118" s="123" t="s">
        <v>113</v>
      </c>
      <c r="N118" s="123" t="s">
        <v>114</v>
      </c>
      <c r="O118" s="57"/>
      <c r="P118" s="125"/>
      <c r="Q118" s="57"/>
      <c r="R118" s="125"/>
      <c r="S118" s="345"/>
      <c r="T118" s="308">
        <f>MIN(T109-SUM(T110:T114,T117:T117))</f>
        <v>1398646.0395441756</v>
      </c>
      <c r="U118" s="178">
        <f>SUM($T$48,$T$34,$T$60,$T$76,$T$90,$W$103,T107,T118,T119)</f>
        <v>14275439.139681248</v>
      </c>
      <c r="V118" s="388"/>
      <c r="W118" s="119"/>
      <c r="X118" s="356"/>
    </row>
    <row r="119" spans="1:24" s="118" customFormat="1" ht="12" customHeight="1" x14ac:dyDescent="0.2">
      <c r="A119" s="162"/>
      <c r="B119" s="126"/>
      <c r="C119" s="117"/>
      <c r="D119" s="377"/>
      <c r="E119" s="145"/>
      <c r="F119" s="117"/>
      <c r="G119" s="117"/>
      <c r="H119" s="121"/>
      <c r="I119" s="121"/>
      <c r="J119" s="121"/>
      <c r="K119" s="122"/>
      <c r="L119" s="176"/>
      <c r="M119" s="123"/>
      <c r="N119" s="123"/>
      <c r="O119" s="57"/>
      <c r="P119" s="125"/>
      <c r="Q119" s="57"/>
      <c r="R119" s="125"/>
      <c r="S119" s="345"/>
      <c r="T119" s="308">
        <f>X103</f>
        <v>10776.85443430813</v>
      </c>
      <c r="U119" s="178" t="s">
        <v>158</v>
      </c>
      <c r="V119" s="388"/>
      <c r="W119" s="119"/>
      <c r="X119" s="356"/>
    </row>
    <row r="120" spans="1:24" s="118" customFormat="1" ht="12" customHeight="1" x14ac:dyDescent="0.2">
      <c r="A120" s="162"/>
      <c r="B120" s="226" t="s">
        <v>116</v>
      </c>
      <c r="C120" s="218"/>
      <c r="D120" s="384"/>
      <c r="E120" s="219"/>
      <c r="F120" s="218"/>
      <c r="G120" s="218"/>
      <c r="H120" s="220"/>
      <c r="I120" s="220"/>
      <c r="J120" s="220"/>
      <c r="K120" s="221"/>
      <c r="L120" s="222"/>
      <c r="M120" s="223"/>
      <c r="N120" s="223"/>
      <c r="O120" s="224"/>
      <c r="P120" s="225"/>
      <c r="Q120" s="224"/>
      <c r="R120" s="225"/>
      <c r="S120" s="346"/>
      <c r="T120" s="309">
        <f>T109-SUM(T110:T114,T117:T119)</f>
        <v>-10776.85443430813</v>
      </c>
      <c r="U120" s="224"/>
      <c r="V120" s="388"/>
    </row>
    <row r="121" spans="1:24" s="118" customFormat="1" ht="12" customHeight="1" x14ac:dyDescent="0.2">
      <c r="A121" s="162"/>
      <c r="B121" s="60" t="s">
        <v>101</v>
      </c>
      <c r="C121" s="61">
        <v>197</v>
      </c>
      <c r="D121" s="61"/>
      <c r="E121" s="62">
        <v>43462</v>
      </c>
      <c r="F121" s="63">
        <v>991.54312625</v>
      </c>
      <c r="G121" s="64">
        <v>2000</v>
      </c>
      <c r="H121" s="65" t="s">
        <v>101</v>
      </c>
      <c r="I121" s="65"/>
      <c r="J121" s="65"/>
      <c r="K121" s="66"/>
      <c r="L121" s="66"/>
      <c r="M121" s="67"/>
      <c r="N121" s="66"/>
      <c r="O121" s="60"/>
      <c r="P121" s="68"/>
      <c r="Q121" s="69"/>
      <c r="R121" s="68"/>
      <c r="S121" s="347"/>
      <c r="T121" s="292">
        <f>TRUNC(F121*G121,2)</f>
        <v>1983086.25</v>
      </c>
      <c r="U121" s="60"/>
      <c r="V121" s="388"/>
    </row>
    <row r="122" spans="1:24" s="118" customFormat="1" ht="12" customHeight="1" x14ac:dyDescent="0.2">
      <c r="A122" s="162"/>
      <c r="B122" s="133" t="s">
        <v>101</v>
      </c>
      <c r="C122" s="134" t="s">
        <v>116</v>
      </c>
      <c r="D122" s="134"/>
      <c r="E122" s="62">
        <v>43462</v>
      </c>
      <c r="F122" s="137"/>
      <c r="G122" s="138"/>
      <c r="H122" s="139" t="s">
        <v>117</v>
      </c>
      <c r="I122" s="139"/>
      <c r="J122" s="139"/>
      <c r="K122" s="140"/>
      <c r="L122" s="140"/>
      <c r="M122" s="141"/>
      <c r="N122" s="140"/>
      <c r="O122" s="133"/>
      <c r="P122" s="142"/>
      <c r="Q122" s="143"/>
      <c r="R122" s="142"/>
      <c r="S122" s="348"/>
      <c r="T122" s="293">
        <f>SUM(T121)</f>
        <v>1983086.25</v>
      </c>
      <c r="U122" s="133"/>
      <c r="V122" s="388"/>
    </row>
    <row r="123" spans="1:24" s="118" customFormat="1" ht="12" customHeight="1" x14ac:dyDescent="0.2">
      <c r="A123" s="162"/>
      <c r="B123" s="44" t="s">
        <v>76</v>
      </c>
      <c r="C123" s="23"/>
      <c r="D123" s="43">
        <v>43465</v>
      </c>
      <c r="E123" s="43">
        <v>43462</v>
      </c>
      <c r="F123" s="23"/>
      <c r="G123" s="23"/>
      <c r="H123" s="38" t="s">
        <v>8</v>
      </c>
      <c r="I123" s="38" t="s">
        <v>58</v>
      </c>
      <c r="J123" s="25" t="s">
        <v>52</v>
      </c>
      <c r="K123" s="42">
        <v>341</v>
      </c>
      <c r="L123" s="41" t="s">
        <v>62</v>
      </c>
      <c r="M123" s="40" t="s">
        <v>55</v>
      </c>
      <c r="N123" s="42" t="s">
        <v>53</v>
      </c>
      <c r="O123" s="44">
        <f>T122*0.5%</f>
        <v>9915.4312499999996</v>
      </c>
      <c r="P123" s="39">
        <v>0.1115</v>
      </c>
      <c r="Q123" s="27">
        <f>O123/(1-P123)</f>
        <v>11159.742543612831</v>
      </c>
      <c r="R123" s="39">
        <v>6.1499999999999999E-2</v>
      </c>
      <c r="S123" s="331">
        <f t="shared" ref="S123:S126" si="22">R123*Q123</f>
        <v>686.32416643218903</v>
      </c>
      <c r="T123" s="294">
        <f t="shared" ref="T123:T126" si="23">Q123*(1-R123)</f>
        <v>10473.418377180642</v>
      </c>
      <c r="U123" s="26"/>
      <c r="V123" s="388"/>
    </row>
    <row r="124" spans="1:24" s="118" customFormat="1" ht="12" customHeight="1" x14ac:dyDescent="0.2">
      <c r="A124" s="162"/>
      <c r="B124" s="202" t="s">
        <v>76</v>
      </c>
      <c r="C124" s="203"/>
      <c r="D124" s="204">
        <v>43465</v>
      </c>
      <c r="E124" s="204">
        <v>43462</v>
      </c>
      <c r="F124" s="203"/>
      <c r="G124" s="203"/>
      <c r="H124" s="184" t="s">
        <v>60</v>
      </c>
      <c r="I124" s="184" t="s">
        <v>58</v>
      </c>
      <c r="J124" s="182" t="s">
        <v>52</v>
      </c>
      <c r="K124" s="185">
        <v>341</v>
      </c>
      <c r="L124" s="186" t="s">
        <v>62</v>
      </c>
      <c r="M124" s="187" t="s">
        <v>55</v>
      </c>
      <c r="N124" s="185" t="s">
        <v>53</v>
      </c>
      <c r="O124" s="181">
        <f>(T122*2.2%)</f>
        <v>43627.897500000006</v>
      </c>
      <c r="P124" s="188">
        <v>0.1115</v>
      </c>
      <c r="Q124" s="189">
        <f>O124/(1-P124)-Q126</f>
        <v>44145.151566896464</v>
      </c>
      <c r="R124" s="188">
        <v>6.1499999999999999E-2</v>
      </c>
      <c r="S124" s="332">
        <f t="shared" si="22"/>
        <v>2714.9268213641326</v>
      </c>
      <c r="T124" s="295">
        <f t="shared" si="23"/>
        <v>41430.22474553233</v>
      </c>
      <c r="U124" s="213"/>
      <c r="V124" s="388"/>
    </row>
    <row r="125" spans="1:24" s="118" customFormat="1" ht="12" customHeight="1" x14ac:dyDescent="0.2">
      <c r="A125" s="162"/>
      <c r="B125" s="44" t="s">
        <v>76</v>
      </c>
      <c r="C125" s="23"/>
      <c r="D125" s="43">
        <v>43465</v>
      </c>
      <c r="E125" s="43">
        <v>43462</v>
      </c>
      <c r="F125" s="23"/>
      <c r="G125" s="23"/>
      <c r="H125" s="38" t="s">
        <v>122</v>
      </c>
      <c r="I125" s="38" t="s">
        <v>58</v>
      </c>
      <c r="J125" s="25" t="s">
        <v>52</v>
      </c>
      <c r="K125" s="42">
        <v>341</v>
      </c>
      <c r="L125" s="41" t="s">
        <v>62</v>
      </c>
      <c r="M125" s="40" t="s">
        <v>55</v>
      </c>
      <c r="N125" s="42" t="s">
        <v>53</v>
      </c>
      <c r="O125" s="58">
        <f>0.9%*T122</f>
        <v>17847.776250000003</v>
      </c>
      <c r="P125" s="39">
        <v>0.1115</v>
      </c>
      <c r="Q125" s="27">
        <f>O125/(1-P125)</f>
        <v>20087.536578503099</v>
      </c>
      <c r="R125" s="39">
        <v>6.1499999999999999E-2</v>
      </c>
      <c r="S125" s="331">
        <f t="shared" si="22"/>
        <v>1235.3834995779405</v>
      </c>
      <c r="T125" s="294">
        <f t="shared" si="23"/>
        <v>18852.153078925159</v>
      </c>
      <c r="U125" s="27"/>
      <c r="V125" s="388"/>
    </row>
    <row r="126" spans="1:24" s="118" customFormat="1" ht="12" customHeight="1" x14ac:dyDescent="0.2">
      <c r="A126" s="162"/>
      <c r="B126" s="191" t="s">
        <v>78</v>
      </c>
      <c r="C126" s="192"/>
      <c r="D126" s="194"/>
      <c r="E126" s="193">
        <v>43462</v>
      </c>
      <c r="F126" s="203"/>
      <c r="G126" s="203"/>
      <c r="H126" s="192" t="s">
        <v>108</v>
      </c>
      <c r="I126" s="192" t="s">
        <v>118</v>
      </c>
      <c r="J126" s="192" t="s">
        <v>131</v>
      </c>
      <c r="K126" s="194"/>
      <c r="L126" s="194"/>
      <c r="M126" s="195"/>
      <c r="N126" s="194"/>
      <c r="O126" s="191"/>
      <c r="P126" s="196"/>
      <c r="Q126" s="191">
        <f>0.25%*T122</f>
        <v>4957.7156249999998</v>
      </c>
      <c r="R126" s="196">
        <v>6.1499999999999999E-2</v>
      </c>
      <c r="S126" s="333">
        <f t="shared" si="22"/>
        <v>304.8995109375</v>
      </c>
      <c r="T126" s="296">
        <f t="shared" si="23"/>
        <v>4652.8161140624998</v>
      </c>
      <c r="U126" s="213"/>
      <c r="V126" s="388"/>
    </row>
    <row r="127" spans="1:24" s="118" customFormat="1" ht="12" customHeight="1" x14ac:dyDescent="0.2">
      <c r="A127" s="162"/>
      <c r="B127" s="254"/>
      <c r="C127" s="255"/>
      <c r="D127" s="368"/>
      <c r="E127" s="256"/>
      <c r="F127" s="255"/>
      <c r="G127" s="255"/>
      <c r="H127" s="256" t="s">
        <v>40</v>
      </c>
      <c r="I127" s="256" t="s">
        <v>26</v>
      </c>
      <c r="J127" s="256"/>
      <c r="K127" s="420"/>
      <c r="L127" s="420"/>
      <c r="M127" s="420"/>
      <c r="N127" s="420"/>
      <c r="O127" s="257"/>
      <c r="P127" s="258"/>
      <c r="Q127" s="257"/>
      <c r="R127" s="258"/>
      <c r="S127" s="349"/>
      <c r="T127" s="310">
        <f>SUM(T128:T129)</f>
        <v>4941.5339983117619</v>
      </c>
      <c r="U127" s="259"/>
      <c r="V127" s="388"/>
    </row>
    <row r="128" spans="1:24" s="118" customFormat="1" ht="12" customHeight="1" x14ac:dyDescent="0.2">
      <c r="A128" s="162"/>
      <c r="B128" s="237" t="s">
        <v>77</v>
      </c>
      <c r="C128" s="56"/>
      <c r="D128" s="122"/>
      <c r="E128" s="145">
        <v>43462</v>
      </c>
      <c r="F128" s="56"/>
      <c r="G128" s="56"/>
      <c r="H128" s="146" t="s">
        <v>59</v>
      </c>
      <c r="I128" s="147" t="s">
        <v>58</v>
      </c>
      <c r="J128" s="147" t="s">
        <v>52</v>
      </c>
      <c r="K128" s="418"/>
      <c r="L128" s="418"/>
      <c r="M128" s="418"/>
      <c r="N128" s="418"/>
      <c r="O128" s="148"/>
      <c r="P128" s="125"/>
      <c r="Q128" s="149"/>
      <c r="R128" s="125"/>
      <c r="S128" s="343"/>
      <c r="T128" s="306">
        <f>SUMIF($J$123:$J$126,J128,$S$123:$S$126)</f>
        <v>4636.6344873742619</v>
      </c>
      <c r="U128" s="260"/>
      <c r="V128" s="388"/>
    </row>
    <row r="129" spans="1:25" s="118" customFormat="1" ht="12" customHeight="1" x14ac:dyDescent="0.2">
      <c r="A129" s="162"/>
      <c r="B129" s="282" t="s">
        <v>77</v>
      </c>
      <c r="C129" s="283"/>
      <c r="D129" s="385"/>
      <c r="E129" s="284">
        <v>43462</v>
      </c>
      <c r="F129" s="283"/>
      <c r="G129" s="283"/>
      <c r="H129" s="285" t="s">
        <v>120</v>
      </c>
      <c r="I129" s="286" t="s">
        <v>118</v>
      </c>
      <c r="J129" s="283" t="s">
        <v>131</v>
      </c>
      <c r="K129" s="287"/>
      <c r="L129" s="287"/>
      <c r="M129" s="287"/>
      <c r="N129" s="287"/>
      <c r="O129" s="243"/>
      <c r="P129" s="244"/>
      <c r="Q129" s="288"/>
      <c r="R129" s="244"/>
      <c r="S129" s="344"/>
      <c r="T129" s="318">
        <f>SUMIF($J$123:$J$126,J129,$S$123:$S$126)</f>
        <v>304.8995109375</v>
      </c>
      <c r="U129" s="281"/>
      <c r="V129" s="388"/>
    </row>
    <row r="130" spans="1:25" s="118" customFormat="1" ht="12" customHeight="1" x14ac:dyDescent="0.2">
      <c r="A130" s="162"/>
      <c r="B130" s="151" t="s">
        <v>79</v>
      </c>
      <c r="C130" s="59"/>
      <c r="D130" s="377">
        <v>43465</v>
      </c>
      <c r="E130" s="152">
        <v>43462</v>
      </c>
      <c r="F130" s="59"/>
      <c r="G130" s="59"/>
      <c r="H130" s="121" t="s">
        <v>37</v>
      </c>
      <c r="I130" s="121" t="s">
        <v>26</v>
      </c>
      <c r="J130" s="56" t="s">
        <v>29</v>
      </c>
      <c r="K130" s="122">
        <v>341</v>
      </c>
      <c r="L130" s="176" t="s">
        <v>62</v>
      </c>
      <c r="M130" s="123" t="s">
        <v>55</v>
      </c>
      <c r="N130" s="123" t="s">
        <v>115</v>
      </c>
      <c r="O130" s="153"/>
      <c r="P130" s="125"/>
      <c r="Q130" s="57"/>
      <c r="R130" s="125"/>
      <c r="S130" s="345"/>
      <c r="T130" s="308">
        <v>92780.7</v>
      </c>
      <c r="U130" s="15"/>
      <c r="V130" s="388"/>
    </row>
    <row r="131" spans="1:25" s="118" customFormat="1" ht="12" customHeight="1" x14ac:dyDescent="0.2">
      <c r="A131" s="162"/>
      <c r="B131" s="202" t="s">
        <v>79</v>
      </c>
      <c r="C131" s="203"/>
      <c r="D131" s="378">
        <v>43107</v>
      </c>
      <c r="E131" s="204">
        <v>43462</v>
      </c>
      <c r="F131" s="203"/>
      <c r="G131" s="203"/>
      <c r="H131" s="184" t="s">
        <v>159</v>
      </c>
      <c r="I131" s="184" t="s">
        <v>26</v>
      </c>
      <c r="J131" s="182" t="s">
        <v>29</v>
      </c>
      <c r="K131" s="185">
        <v>341</v>
      </c>
      <c r="L131" s="186" t="s">
        <v>62</v>
      </c>
      <c r="M131" s="187" t="s">
        <v>55</v>
      </c>
      <c r="N131" s="187" t="s">
        <v>115</v>
      </c>
      <c r="O131" s="205"/>
      <c r="P131" s="188"/>
      <c r="Q131" s="189"/>
      <c r="R131" s="188"/>
      <c r="S131" s="332"/>
      <c r="T131" s="295">
        <v>1285394.5433672301</v>
      </c>
      <c r="U131" s="203"/>
      <c r="V131" s="388"/>
    </row>
    <row r="132" spans="1:25" s="118" customFormat="1" ht="12" customHeight="1" x14ac:dyDescent="0.2">
      <c r="A132" s="162"/>
      <c r="B132" s="126" t="s">
        <v>76</v>
      </c>
      <c r="C132" s="117"/>
      <c r="D132" s="377">
        <v>43462</v>
      </c>
      <c r="E132" s="145">
        <v>43462</v>
      </c>
      <c r="F132" s="117"/>
      <c r="G132" s="117"/>
      <c r="H132" s="121" t="s">
        <v>109</v>
      </c>
      <c r="I132" s="121" t="s">
        <v>110</v>
      </c>
      <c r="J132" s="121" t="s">
        <v>111</v>
      </c>
      <c r="K132" s="122">
        <v>41</v>
      </c>
      <c r="L132" s="176" t="s">
        <v>112</v>
      </c>
      <c r="M132" s="123" t="s">
        <v>113</v>
      </c>
      <c r="N132" s="123" t="s">
        <v>114</v>
      </c>
      <c r="O132" s="57"/>
      <c r="P132" s="125"/>
      <c r="Q132" s="57"/>
      <c r="R132" s="125"/>
      <c r="S132" s="345"/>
      <c r="T132" s="308">
        <f>MIN(T122-SUM(T123:T127,T130:T131))</f>
        <v>524560.86031875759</v>
      </c>
      <c r="U132" s="178">
        <f>SUM($U$118,$T$132)</f>
        <v>14800000.000000006</v>
      </c>
      <c r="V132" s="388"/>
      <c r="X132" s="367"/>
    </row>
    <row r="133" spans="1:25" s="118" customFormat="1" ht="12" customHeight="1" x14ac:dyDescent="0.2">
      <c r="A133" s="162"/>
      <c r="B133" s="226" t="s">
        <v>116</v>
      </c>
      <c r="C133" s="218"/>
      <c r="D133" s="384"/>
      <c r="E133" s="219"/>
      <c r="F133" s="218"/>
      <c r="G133" s="218"/>
      <c r="H133" s="220"/>
      <c r="I133" s="220"/>
      <c r="J133" s="220"/>
      <c r="K133" s="221"/>
      <c r="L133" s="222"/>
      <c r="M133" s="223"/>
      <c r="N133" s="223"/>
      <c r="O133" s="224"/>
      <c r="P133" s="225"/>
      <c r="Q133" s="224"/>
      <c r="R133" s="225"/>
      <c r="S133" s="346"/>
      <c r="T133" s="309">
        <f>T122-SUM(T123:T127,T130:T132)</f>
        <v>0</v>
      </c>
      <c r="U133" s="224"/>
      <c r="V133" s="388"/>
    </row>
    <row r="134" spans="1:25" s="118" customFormat="1" ht="12" customHeight="1" x14ac:dyDescent="0.2">
      <c r="A134" s="162"/>
      <c r="B134" s="60" t="s">
        <v>101</v>
      </c>
      <c r="C134" s="61">
        <v>197</v>
      </c>
      <c r="D134" s="61"/>
      <c r="E134" s="62">
        <v>43473</v>
      </c>
      <c r="F134" s="63">
        <v>994.22222184999998</v>
      </c>
      <c r="G134" s="64">
        <v>8000</v>
      </c>
      <c r="H134" s="65" t="s">
        <v>101</v>
      </c>
      <c r="I134" s="65"/>
      <c r="J134" s="65"/>
      <c r="K134" s="66"/>
      <c r="L134" s="66"/>
      <c r="M134" s="67"/>
      <c r="N134" s="66"/>
      <c r="O134" s="60"/>
      <c r="P134" s="68"/>
      <c r="Q134" s="69"/>
      <c r="R134" s="68"/>
      <c r="S134" s="347"/>
      <c r="T134" s="292">
        <f>TRUNC(F134*G134,2)</f>
        <v>7953777.7699999996</v>
      </c>
      <c r="U134" s="60"/>
      <c r="V134" s="388"/>
    </row>
    <row r="135" spans="1:25" s="118" customFormat="1" ht="12" customHeight="1" x14ac:dyDescent="0.2">
      <c r="A135" s="162"/>
      <c r="B135" s="133" t="s">
        <v>101</v>
      </c>
      <c r="C135" s="134" t="s">
        <v>116</v>
      </c>
      <c r="D135" s="134"/>
      <c r="E135" s="62">
        <v>43473</v>
      </c>
      <c r="F135" s="137"/>
      <c r="G135" s="138"/>
      <c r="H135" s="139" t="s">
        <v>117</v>
      </c>
      <c r="I135" s="139"/>
      <c r="J135" s="139"/>
      <c r="K135" s="140"/>
      <c r="L135" s="140"/>
      <c r="M135" s="141"/>
      <c r="N135" s="140"/>
      <c r="O135" s="133"/>
      <c r="P135" s="142"/>
      <c r="Q135" s="143"/>
      <c r="R135" s="142"/>
      <c r="S135" s="348"/>
      <c r="T135" s="293">
        <f>SUM(T134)</f>
        <v>7953777.7699999996</v>
      </c>
      <c r="U135" s="133"/>
      <c r="V135" s="388"/>
    </row>
    <row r="136" spans="1:25" s="118" customFormat="1" ht="12" customHeight="1" x14ac:dyDescent="0.2">
      <c r="A136" s="162"/>
      <c r="B136" s="44" t="s">
        <v>76</v>
      </c>
      <c r="C136" s="23"/>
      <c r="D136" s="43">
        <v>43474</v>
      </c>
      <c r="E136" s="43">
        <v>43473</v>
      </c>
      <c r="F136" s="23"/>
      <c r="G136" s="23"/>
      <c r="H136" s="38" t="s">
        <v>8</v>
      </c>
      <c r="I136" s="38" t="s">
        <v>58</v>
      </c>
      <c r="J136" s="25" t="s">
        <v>52</v>
      </c>
      <c r="K136" s="42">
        <v>341</v>
      </c>
      <c r="L136" s="41" t="s">
        <v>62</v>
      </c>
      <c r="M136" s="40" t="s">
        <v>55</v>
      </c>
      <c r="N136" s="42" t="s">
        <v>53</v>
      </c>
      <c r="O136" s="44">
        <f>T135*0.5%</f>
        <v>39768.888849999996</v>
      </c>
      <c r="P136" s="39">
        <v>0.1115</v>
      </c>
      <c r="Q136" s="27">
        <f>O136/(1-P136)</f>
        <v>44759.582273494649</v>
      </c>
      <c r="R136" s="39">
        <v>6.1499999999999999E-2</v>
      </c>
      <c r="S136" s="331">
        <f t="shared" ref="S136:S139" si="24">R136*Q136</f>
        <v>2752.7143098199208</v>
      </c>
      <c r="T136" s="294">
        <f t="shared" ref="T136:T139" si="25">Q136*(1-R136)</f>
        <v>42006.867963674726</v>
      </c>
      <c r="U136" s="26"/>
      <c r="V136" s="388"/>
    </row>
    <row r="137" spans="1:25" s="118" customFormat="1" ht="12" customHeight="1" x14ac:dyDescent="0.2">
      <c r="A137" s="162"/>
      <c r="B137" s="202" t="s">
        <v>76</v>
      </c>
      <c r="C137" s="203"/>
      <c r="D137" s="204">
        <v>43474</v>
      </c>
      <c r="E137" s="204">
        <v>43473</v>
      </c>
      <c r="F137" s="203"/>
      <c r="G137" s="203"/>
      <c r="H137" s="184" t="s">
        <v>60</v>
      </c>
      <c r="I137" s="184" t="s">
        <v>58</v>
      </c>
      <c r="J137" s="182" t="s">
        <v>52</v>
      </c>
      <c r="K137" s="185">
        <v>341</v>
      </c>
      <c r="L137" s="186" t="s">
        <v>62</v>
      </c>
      <c r="M137" s="187" t="s">
        <v>55</v>
      </c>
      <c r="N137" s="185" t="s">
        <v>53</v>
      </c>
      <c r="O137" s="181">
        <f>(T135*2.2%)</f>
        <v>174983.11094000001</v>
      </c>
      <c r="P137" s="188">
        <v>0.1115</v>
      </c>
      <c r="Q137" s="189">
        <f>O137/(1-P137)-Q139</f>
        <v>177057.7175783765</v>
      </c>
      <c r="R137" s="188">
        <v>6.1499999999999999E-2</v>
      </c>
      <c r="S137" s="332">
        <f t="shared" si="24"/>
        <v>10889.049631070155</v>
      </c>
      <c r="T137" s="295">
        <f t="shared" si="25"/>
        <v>166168.66794730636</v>
      </c>
      <c r="U137" s="213"/>
      <c r="V137" s="388"/>
    </row>
    <row r="138" spans="1:25" s="118" customFormat="1" ht="12" customHeight="1" x14ac:dyDescent="0.2">
      <c r="A138" s="162"/>
      <c r="B138" s="44" t="s">
        <v>76</v>
      </c>
      <c r="C138" s="23"/>
      <c r="D138" s="43">
        <v>43474</v>
      </c>
      <c r="E138" s="43">
        <v>43473</v>
      </c>
      <c r="F138" s="23"/>
      <c r="G138" s="23"/>
      <c r="H138" s="38" t="s">
        <v>122</v>
      </c>
      <c r="I138" s="38" t="s">
        <v>58</v>
      </c>
      <c r="J138" s="25" t="s">
        <v>52</v>
      </c>
      <c r="K138" s="42">
        <v>341</v>
      </c>
      <c r="L138" s="41" t="s">
        <v>62</v>
      </c>
      <c r="M138" s="40" t="s">
        <v>55</v>
      </c>
      <c r="N138" s="42" t="s">
        <v>53</v>
      </c>
      <c r="O138" s="58">
        <f>0.9%*T135</f>
        <v>71583.999930000005</v>
      </c>
      <c r="P138" s="39">
        <v>0.1115</v>
      </c>
      <c r="Q138" s="27">
        <f>O138/(1-P138)</f>
        <v>80567.248092290392</v>
      </c>
      <c r="R138" s="39">
        <v>6.1499999999999999E-2</v>
      </c>
      <c r="S138" s="331">
        <f t="shared" si="24"/>
        <v>4954.8857576758592</v>
      </c>
      <c r="T138" s="294">
        <f t="shared" si="25"/>
        <v>75612.362334614532</v>
      </c>
      <c r="U138" s="27"/>
      <c r="V138" s="388"/>
    </row>
    <row r="139" spans="1:25" s="118" customFormat="1" ht="12" customHeight="1" x14ac:dyDescent="0.2">
      <c r="A139" s="162"/>
      <c r="B139" s="191" t="s">
        <v>78</v>
      </c>
      <c r="C139" s="192"/>
      <c r="D139" s="194"/>
      <c r="E139" s="193">
        <v>43473</v>
      </c>
      <c r="F139" s="203"/>
      <c r="G139" s="203"/>
      <c r="H139" s="192" t="s">
        <v>108</v>
      </c>
      <c r="I139" s="192" t="s">
        <v>118</v>
      </c>
      <c r="J139" s="192" t="s">
        <v>131</v>
      </c>
      <c r="K139" s="194"/>
      <c r="L139" s="194"/>
      <c r="M139" s="195"/>
      <c r="N139" s="194"/>
      <c r="O139" s="191"/>
      <c r="P139" s="196"/>
      <c r="Q139" s="191">
        <f>0.25%*T135</f>
        <v>19884.444424999998</v>
      </c>
      <c r="R139" s="196">
        <v>6.1499999999999999E-2</v>
      </c>
      <c r="S139" s="333">
        <f t="shared" si="24"/>
        <v>1222.8933321374998</v>
      </c>
      <c r="T139" s="296">
        <f t="shared" si="25"/>
        <v>18661.551092862497</v>
      </c>
      <c r="U139" s="213"/>
      <c r="V139" s="388"/>
    </row>
    <row r="140" spans="1:25" s="118" customFormat="1" ht="12" customHeight="1" x14ac:dyDescent="0.2">
      <c r="A140" s="162"/>
      <c r="B140" s="254"/>
      <c r="C140" s="255"/>
      <c r="D140" s="368"/>
      <c r="E140" s="256"/>
      <c r="F140" s="255"/>
      <c r="G140" s="255"/>
      <c r="H140" s="256" t="s">
        <v>40</v>
      </c>
      <c r="I140" s="256" t="s">
        <v>26</v>
      </c>
      <c r="J140" s="256"/>
      <c r="K140" s="420"/>
      <c r="L140" s="420"/>
      <c r="M140" s="420"/>
      <c r="N140" s="420"/>
      <c r="O140" s="257"/>
      <c r="P140" s="258"/>
      <c r="Q140" s="257"/>
      <c r="R140" s="258"/>
      <c r="S140" s="349"/>
      <c r="T140" s="310">
        <f>SUM(T141:T142)</f>
        <v>19819.543030703437</v>
      </c>
      <c r="U140" s="259"/>
      <c r="V140" s="388"/>
    </row>
    <row r="141" spans="1:25" s="118" customFormat="1" ht="12" customHeight="1" x14ac:dyDescent="0.2">
      <c r="A141" s="162"/>
      <c r="B141" s="237" t="s">
        <v>77</v>
      </c>
      <c r="C141" s="56"/>
      <c r="D141" s="122"/>
      <c r="E141" s="145">
        <v>43473</v>
      </c>
      <c r="F141" s="56"/>
      <c r="G141" s="56"/>
      <c r="H141" s="146" t="s">
        <v>59</v>
      </c>
      <c r="I141" s="147" t="s">
        <v>58</v>
      </c>
      <c r="J141" s="147" t="s">
        <v>52</v>
      </c>
      <c r="K141" s="418"/>
      <c r="L141" s="418"/>
      <c r="M141" s="418"/>
      <c r="N141" s="418"/>
      <c r="O141" s="148"/>
      <c r="P141" s="125"/>
      <c r="Q141" s="149"/>
      <c r="R141" s="125"/>
      <c r="S141" s="343"/>
      <c r="T141" s="306">
        <f>SUMIF($J$136:$J$139,J141,$S$136:$S$139)</f>
        <v>18596.649698565936</v>
      </c>
      <c r="U141" s="260"/>
      <c r="V141" s="388"/>
    </row>
    <row r="142" spans="1:25" s="118" customFormat="1" ht="12" customHeight="1" x14ac:dyDescent="0.2">
      <c r="A142" s="162"/>
      <c r="B142" s="282" t="s">
        <v>77</v>
      </c>
      <c r="C142" s="283"/>
      <c r="D142" s="385"/>
      <c r="E142" s="284">
        <v>43473</v>
      </c>
      <c r="F142" s="283"/>
      <c r="G142" s="283"/>
      <c r="H142" s="285" t="s">
        <v>120</v>
      </c>
      <c r="I142" s="286" t="s">
        <v>118</v>
      </c>
      <c r="J142" s="283" t="s">
        <v>131</v>
      </c>
      <c r="K142" s="287"/>
      <c r="L142" s="287"/>
      <c r="M142" s="287"/>
      <c r="N142" s="287"/>
      <c r="O142" s="243"/>
      <c r="P142" s="244"/>
      <c r="Q142" s="288"/>
      <c r="R142" s="244"/>
      <c r="S142" s="344"/>
      <c r="T142" s="318">
        <f>SUMIF($J$136:$J$139,J142,$S$136:$S$139)</f>
        <v>1222.8933321374998</v>
      </c>
      <c r="U142" s="281"/>
      <c r="V142" s="388"/>
      <c r="W142"/>
      <c r="X142"/>
      <c r="Y142"/>
    </row>
    <row r="143" spans="1:25" s="118" customFormat="1" ht="12" customHeight="1" x14ac:dyDescent="0.2">
      <c r="A143" s="162"/>
      <c r="B143" s="151" t="s">
        <v>79</v>
      </c>
      <c r="C143" s="59"/>
      <c r="D143" s="377">
        <v>43474</v>
      </c>
      <c r="E143" s="152">
        <v>43473</v>
      </c>
      <c r="F143" s="59"/>
      <c r="G143" s="59"/>
      <c r="H143" s="121" t="s">
        <v>37</v>
      </c>
      <c r="I143" s="121" t="s">
        <v>26</v>
      </c>
      <c r="J143" s="56" t="s">
        <v>29</v>
      </c>
      <c r="K143" s="122">
        <v>341</v>
      </c>
      <c r="L143" s="176" t="s">
        <v>62</v>
      </c>
      <c r="M143" s="123" t="s">
        <v>55</v>
      </c>
      <c r="N143" s="123" t="s">
        <v>115</v>
      </c>
      <c r="O143" s="153"/>
      <c r="P143" s="125"/>
      <c r="Q143" s="57"/>
      <c r="R143" s="125"/>
      <c r="S143" s="345"/>
      <c r="T143" s="308">
        <v>371122.79</v>
      </c>
      <c r="U143" s="15"/>
      <c r="V143" s="388"/>
    </row>
    <row r="144" spans="1:25" s="118" customFormat="1" ht="12" customHeight="1" x14ac:dyDescent="0.2">
      <c r="A144" s="162"/>
      <c r="B144" s="202" t="s">
        <v>79</v>
      </c>
      <c r="C144" s="203"/>
      <c r="D144" s="378">
        <v>43474</v>
      </c>
      <c r="E144" s="204">
        <v>43473</v>
      </c>
      <c r="F144" s="203"/>
      <c r="G144" s="203"/>
      <c r="H144" s="184" t="s">
        <v>159</v>
      </c>
      <c r="I144" s="184" t="s">
        <v>26</v>
      </c>
      <c r="J144" s="182" t="s">
        <v>29</v>
      </c>
      <c r="K144" s="185">
        <v>341</v>
      </c>
      <c r="L144" s="186" t="s">
        <v>62</v>
      </c>
      <c r="M144" s="187" t="s">
        <v>55</v>
      </c>
      <c r="N144" s="187" t="s">
        <v>115</v>
      </c>
      <c r="O144" s="205"/>
      <c r="P144" s="188"/>
      <c r="Q144" s="189"/>
      <c r="R144" s="188"/>
      <c r="S144" s="332"/>
      <c r="T144" s="295">
        <f>T135-SUM(T136:T140)-T143</f>
        <v>7260385.9876308376</v>
      </c>
      <c r="U144" s="203"/>
      <c r="V144" s="388"/>
    </row>
    <row r="145" spans="1:25" s="118" customFormat="1" ht="12" customHeight="1" x14ac:dyDescent="0.2">
      <c r="A145" s="162"/>
      <c r="B145" s="226" t="s">
        <v>116</v>
      </c>
      <c r="C145" s="218"/>
      <c r="D145" s="384"/>
      <c r="E145" s="219"/>
      <c r="F145" s="218"/>
      <c r="G145" s="218"/>
      <c r="H145" s="220"/>
      <c r="I145" s="220"/>
      <c r="J145" s="220"/>
      <c r="K145" s="221"/>
      <c r="L145" s="222"/>
      <c r="M145" s="223"/>
      <c r="N145" s="223"/>
      <c r="O145" s="224"/>
      <c r="P145" s="225"/>
      <c r="Q145" s="224"/>
      <c r="R145" s="225"/>
      <c r="S145" s="346"/>
      <c r="T145" s="309">
        <f>T135-SUM(T136:T140,T143:T144)</f>
        <v>0</v>
      </c>
      <c r="U145" s="224"/>
      <c r="V145" s="388"/>
    </row>
    <row r="146" spans="1:25" s="118" customFormat="1" ht="12" customHeight="1" x14ac:dyDescent="0.2">
      <c r="A146" s="162"/>
      <c r="B146" s="60" t="s">
        <v>101</v>
      </c>
      <c r="C146" s="61">
        <v>197</v>
      </c>
      <c r="D146" s="61"/>
      <c r="E146" s="62">
        <v>43474</v>
      </c>
      <c r="F146" s="63">
        <v>994.66944119000004</v>
      </c>
      <c r="G146" s="64">
        <v>950</v>
      </c>
      <c r="H146" s="65" t="s">
        <v>101</v>
      </c>
      <c r="I146" s="65"/>
      <c r="J146" s="65"/>
      <c r="K146" s="66"/>
      <c r="L146" s="66"/>
      <c r="M146" s="67"/>
      <c r="N146" s="66"/>
      <c r="O146" s="60"/>
      <c r="P146" s="68"/>
      <c r="Q146" s="69"/>
      <c r="R146" s="68"/>
      <c r="S146" s="347"/>
      <c r="T146" s="292">
        <f>TRUNC(F146*G146,2)</f>
        <v>944935.96</v>
      </c>
      <c r="U146" s="60"/>
      <c r="V146" s="388"/>
    </row>
    <row r="147" spans="1:25" s="118" customFormat="1" ht="12" customHeight="1" x14ac:dyDescent="0.2">
      <c r="A147" s="162"/>
      <c r="B147" s="60" t="s">
        <v>101</v>
      </c>
      <c r="C147" s="61">
        <v>199</v>
      </c>
      <c r="D147" s="61"/>
      <c r="E147" s="62">
        <v>43474</v>
      </c>
      <c r="F147" s="63">
        <v>1000</v>
      </c>
      <c r="G147" s="64">
        <v>1050</v>
      </c>
      <c r="H147" s="65" t="s">
        <v>101</v>
      </c>
      <c r="I147" s="65"/>
      <c r="J147" s="65"/>
      <c r="K147" s="66"/>
      <c r="L147" s="66"/>
      <c r="M147" s="67"/>
      <c r="N147" s="66"/>
      <c r="O147" s="60"/>
      <c r="P147" s="68"/>
      <c r="Q147" s="69"/>
      <c r="R147" s="68"/>
      <c r="S147" s="347"/>
      <c r="T147" s="292">
        <f>TRUNC(F147*G147,2)</f>
        <v>1050000</v>
      </c>
      <c r="U147" s="60"/>
      <c r="V147" s="388"/>
    </row>
    <row r="148" spans="1:25" s="118" customFormat="1" ht="12" customHeight="1" x14ac:dyDescent="0.2">
      <c r="A148" s="162"/>
      <c r="B148" s="133" t="s">
        <v>101</v>
      </c>
      <c r="C148" s="134" t="s">
        <v>116</v>
      </c>
      <c r="D148" s="134"/>
      <c r="E148" s="62">
        <v>43474</v>
      </c>
      <c r="F148" s="137"/>
      <c r="G148" s="138"/>
      <c r="H148" s="139" t="s">
        <v>117</v>
      </c>
      <c r="I148" s="139"/>
      <c r="J148" s="139"/>
      <c r="K148" s="140"/>
      <c r="L148" s="140"/>
      <c r="M148" s="141"/>
      <c r="N148" s="140"/>
      <c r="O148" s="133"/>
      <c r="P148" s="142"/>
      <c r="Q148" s="143"/>
      <c r="R148" s="142"/>
      <c r="S148" s="348"/>
      <c r="T148" s="293">
        <f>SUM(T146:T147)</f>
        <v>1994935.96</v>
      </c>
      <c r="U148" s="133"/>
      <c r="V148" s="388"/>
    </row>
    <row r="149" spans="1:25" s="118" customFormat="1" ht="12" customHeight="1" x14ac:dyDescent="0.2">
      <c r="A149" s="162"/>
      <c r="B149" s="44" t="s">
        <v>76</v>
      </c>
      <c r="C149" s="23"/>
      <c r="D149" s="43">
        <v>43475</v>
      </c>
      <c r="E149" s="43">
        <v>43474</v>
      </c>
      <c r="F149" s="23"/>
      <c r="G149" s="23"/>
      <c r="H149" s="38" t="s">
        <v>8</v>
      </c>
      <c r="I149" s="38" t="s">
        <v>58</v>
      </c>
      <c r="J149" s="25" t="s">
        <v>52</v>
      </c>
      <c r="K149" s="42">
        <v>341</v>
      </c>
      <c r="L149" s="41" t="s">
        <v>62</v>
      </c>
      <c r="M149" s="40" t="s">
        <v>55</v>
      </c>
      <c r="N149" s="42" t="s">
        <v>53</v>
      </c>
      <c r="O149" s="44">
        <f>T148*0.5%</f>
        <v>9974.6797999999999</v>
      </c>
      <c r="P149" s="39">
        <v>0.1115</v>
      </c>
      <c r="Q149" s="27">
        <f>O149/(1-P149)</f>
        <v>11226.426336522229</v>
      </c>
      <c r="R149" s="39">
        <v>6.1499999999999999E-2</v>
      </c>
      <c r="S149" s="331">
        <f t="shared" ref="S149:S152" si="26">R149*Q149</f>
        <v>690.4252196961171</v>
      </c>
      <c r="T149" s="294">
        <f t="shared" ref="T149:T151" si="27">Q149*(1-R149)</f>
        <v>10536.001116826112</v>
      </c>
      <c r="U149" s="26"/>
      <c r="V149" s="388"/>
    </row>
    <row r="150" spans="1:25" s="118" customFormat="1" ht="12" customHeight="1" x14ac:dyDescent="0.2">
      <c r="A150" s="162"/>
      <c r="B150" s="202" t="s">
        <v>76</v>
      </c>
      <c r="C150" s="203"/>
      <c r="D150" s="204">
        <v>43475</v>
      </c>
      <c r="E150" s="204">
        <v>43474</v>
      </c>
      <c r="F150" s="203"/>
      <c r="G150" s="203"/>
      <c r="H150" s="184" t="s">
        <v>60</v>
      </c>
      <c r="I150" s="184" t="s">
        <v>58</v>
      </c>
      <c r="J150" s="182" t="s">
        <v>52</v>
      </c>
      <c r="K150" s="185">
        <v>341</v>
      </c>
      <c r="L150" s="186" t="s">
        <v>62</v>
      </c>
      <c r="M150" s="187" t="s">
        <v>55</v>
      </c>
      <c r="N150" s="185" t="s">
        <v>53</v>
      </c>
      <c r="O150" s="181">
        <f>(T148*2.2%)</f>
        <v>43888.591120000005</v>
      </c>
      <c r="P150" s="188">
        <v>0.1115</v>
      </c>
      <c r="Q150" s="189">
        <f>O150/(1-P150)-Q152</f>
        <v>47033.935980697817</v>
      </c>
      <c r="R150" s="188">
        <v>6.1499999999999999E-2</v>
      </c>
      <c r="S150" s="332">
        <f t="shared" si="26"/>
        <v>2892.5870628129155</v>
      </c>
      <c r="T150" s="295">
        <f t="shared" si="27"/>
        <v>44141.348917884905</v>
      </c>
      <c r="U150" s="213"/>
      <c r="V150" s="388"/>
    </row>
    <row r="151" spans="1:25" s="118" customFormat="1" ht="12" customHeight="1" x14ac:dyDescent="0.2">
      <c r="A151" s="162"/>
      <c r="B151" s="44" t="s">
        <v>76</v>
      </c>
      <c r="C151" s="23"/>
      <c r="D151" s="43">
        <v>43475</v>
      </c>
      <c r="E151" s="43">
        <v>43474</v>
      </c>
      <c r="F151" s="23"/>
      <c r="G151" s="23"/>
      <c r="H151" s="38" t="s">
        <v>122</v>
      </c>
      <c r="I151" s="38" t="s">
        <v>58</v>
      </c>
      <c r="J151" s="25" t="s">
        <v>52</v>
      </c>
      <c r="K151" s="42">
        <v>341</v>
      </c>
      <c r="L151" s="41" t="s">
        <v>62</v>
      </c>
      <c r="M151" s="40" t="s">
        <v>55</v>
      </c>
      <c r="N151" s="42" t="s">
        <v>53</v>
      </c>
      <c r="O151" s="58">
        <f>0.9%*T148</f>
        <v>17954.423640000001</v>
      </c>
      <c r="P151" s="39">
        <v>0.1115</v>
      </c>
      <c r="Q151" s="27">
        <f>O151/(1-P151)</f>
        <v>20207.567405740014</v>
      </c>
      <c r="R151" s="39">
        <v>6.1499999999999999E-2</v>
      </c>
      <c r="S151" s="331">
        <f t="shared" si="26"/>
        <v>1242.7653954530108</v>
      </c>
      <c r="T151" s="294">
        <f t="shared" si="27"/>
        <v>18964.802010287003</v>
      </c>
      <c r="U151" s="27"/>
      <c r="V151" s="388"/>
    </row>
    <row r="152" spans="1:25" s="118" customFormat="1" ht="12" customHeight="1" x14ac:dyDescent="0.2">
      <c r="A152" s="162"/>
      <c r="B152" s="191" t="s">
        <v>78</v>
      </c>
      <c r="C152" s="192"/>
      <c r="D152" s="194" t="s">
        <v>160</v>
      </c>
      <c r="E152" s="193">
        <v>43474</v>
      </c>
      <c r="F152" s="203"/>
      <c r="G152" s="203"/>
      <c r="H152" s="192" t="s">
        <v>108</v>
      </c>
      <c r="I152" s="192" t="s">
        <v>118</v>
      </c>
      <c r="J152" s="192" t="s">
        <v>131</v>
      </c>
      <c r="K152" s="194"/>
      <c r="L152" s="194"/>
      <c r="M152" s="195"/>
      <c r="N152" s="194"/>
      <c r="O152" s="191"/>
      <c r="P152" s="196"/>
      <c r="Q152" s="191">
        <f>0.25%*T146</f>
        <v>2362.3398999999999</v>
      </c>
      <c r="R152" s="196">
        <v>6.1499999999999999E-2</v>
      </c>
      <c r="S152" s="333">
        <f t="shared" si="26"/>
        <v>145.28390385</v>
      </c>
      <c r="T152" s="296">
        <f>Q152*(1-R152)</f>
        <v>2217.0559961499998</v>
      </c>
      <c r="U152" s="213"/>
      <c r="V152" s="388"/>
    </row>
    <row r="153" spans="1:25" s="118" customFormat="1" ht="12" customHeight="1" x14ac:dyDescent="0.2">
      <c r="A153" s="162"/>
      <c r="B153" s="254"/>
      <c r="C153" s="255"/>
      <c r="D153" s="368"/>
      <c r="E153" s="256"/>
      <c r="F153" s="255"/>
      <c r="G153" s="255"/>
      <c r="H153" s="256" t="s">
        <v>40</v>
      </c>
      <c r="I153" s="256" t="s">
        <v>26</v>
      </c>
      <c r="J153" s="256"/>
      <c r="K153" s="420"/>
      <c r="L153" s="420"/>
      <c r="M153" s="420"/>
      <c r="N153" s="420"/>
      <c r="O153" s="257"/>
      <c r="P153" s="258"/>
      <c r="Q153" s="257"/>
      <c r="R153" s="258"/>
      <c r="S153" s="349"/>
      <c r="T153" s="310">
        <f>SUM(T154:T155)</f>
        <v>4971.0615818120432</v>
      </c>
      <c r="U153" s="259"/>
      <c r="V153" s="388"/>
    </row>
    <row r="154" spans="1:25" s="118" customFormat="1" ht="12" customHeight="1" x14ac:dyDescent="0.2">
      <c r="A154" s="162"/>
      <c r="B154" s="237" t="s">
        <v>77</v>
      </c>
      <c r="C154" s="56"/>
      <c r="D154" s="122"/>
      <c r="E154" s="145">
        <v>43474</v>
      </c>
      <c r="F154" s="56"/>
      <c r="G154" s="56"/>
      <c r="H154" s="146" t="s">
        <v>59</v>
      </c>
      <c r="I154" s="147" t="s">
        <v>58</v>
      </c>
      <c r="J154" s="147" t="s">
        <v>52</v>
      </c>
      <c r="K154" s="418"/>
      <c r="L154" s="418"/>
      <c r="M154" s="418"/>
      <c r="N154" s="418"/>
      <c r="O154" s="148"/>
      <c r="P154" s="125"/>
      <c r="Q154" s="149"/>
      <c r="R154" s="125"/>
      <c r="S154" s="343"/>
      <c r="T154" s="306">
        <f>SUMIF($J$149:$J$152,J154,$S$149:$S$152)</f>
        <v>4825.7776779620435</v>
      </c>
      <c r="U154" s="260"/>
      <c r="V154" s="388"/>
    </row>
    <row r="155" spans="1:25" s="118" customFormat="1" ht="12" customHeight="1" x14ac:dyDescent="0.2">
      <c r="A155" s="162"/>
      <c r="B155" s="282" t="s">
        <v>77</v>
      </c>
      <c r="C155" s="283"/>
      <c r="D155" s="385"/>
      <c r="E155" s="284">
        <v>43474</v>
      </c>
      <c r="F155" s="283"/>
      <c r="G155" s="283"/>
      <c r="H155" s="285" t="s">
        <v>120</v>
      </c>
      <c r="I155" s="286" t="s">
        <v>118</v>
      </c>
      <c r="J155" s="283" t="s">
        <v>131</v>
      </c>
      <c r="K155" s="287"/>
      <c r="L155" s="287"/>
      <c r="M155" s="287"/>
      <c r="N155" s="287"/>
      <c r="O155" s="243"/>
      <c r="P155" s="244"/>
      <c r="Q155" s="288"/>
      <c r="R155" s="244"/>
      <c r="S155" s="344"/>
      <c r="T155" s="318">
        <f>SUMIF($J$149:$J$152,J155,$S$149:$S$152)</f>
        <v>145.28390385</v>
      </c>
      <c r="U155" s="281"/>
      <c r="V155" s="388"/>
      <c r="W155"/>
      <c r="X155"/>
      <c r="Y155"/>
    </row>
    <row r="156" spans="1:25" s="118" customFormat="1" ht="12" customHeight="1" x14ac:dyDescent="0.2">
      <c r="A156" s="162"/>
      <c r="B156" s="151" t="s">
        <v>79</v>
      </c>
      <c r="C156" s="59"/>
      <c r="D156" s="377">
        <v>43475</v>
      </c>
      <c r="E156" s="152">
        <v>43474</v>
      </c>
      <c r="F156" s="59"/>
      <c r="G156" s="59"/>
      <c r="H156" s="121" t="s">
        <v>37</v>
      </c>
      <c r="I156" s="121" t="s">
        <v>26</v>
      </c>
      <c r="J156" s="56" t="s">
        <v>29</v>
      </c>
      <c r="K156" s="122">
        <v>341</v>
      </c>
      <c r="L156" s="176" t="s">
        <v>62</v>
      </c>
      <c r="M156" s="123" t="s">
        <v>55</v>
      </c>
      <c r="N156" s="123" t="s">
        <v>115</v>
      </c>
      <c r="O156" s="153"/>
      <c r="P156" s="125"/>
      <c r="Q156" s="57"/>
      <c r="R156" s="125"/>
      <c r="S156" s="345"/>
      <c r="T156" s="308">
        <f>44070.83+49201.92</f>
        <v>93272.75</v>
      </c>
      <c r="U156" s="15"/>
      <c r="V156" s="388"/>
    </row>
    <row r="157" spans="1:25" s="118" customFormat="1" ht="12" customHeight="1" x14ac:dyDescent="0.2">
      <c r="A157" s="162"/>
      <c r="B157" s="202" t="s">
        <v>79</v>
      </c>
      <c r="C157" s="203"/>
      <c r="D157" s="378">
        <v>43475</v>
      </c>
      <c r="E157" s="204">
        <v>43474</v>
      </c>
      <c r="F157" s="203"/>
      <c r="G157" s="203"/>
      <c r="H157" s="184" t="s">
        <v>159</v>
      </c>
      <c r="I157" s="184" t="s">
        <v>26</v>
      </c>
      <c r="J157" s="182" t="s">
        <v>29</v>
      </c>
      <c r="K157" s="185">
        <v>341</v>
      </c>
      <c r="L157" s="186" t="s">
        <v>62</v>
      </c>
      <c r="M157" s="187" t="s">
        <v>55</v>
      </c>
      <c r="N157" s="187" t="s">
        <v>115</v>
      </c>
      <c r="O157" s="205"/>
      <c r="P157" s="188"/>
      <c r="Q157" s="189"/>
      <c r="R157" s="188"/>
      <c r="S157" s="332"/>
      <c r="T157" s="295">
        <f>T148-SUM(T149:T153)-T156</f>
        <v>1820832.9403770398</v>
      </c>
      <c r="U157" s="203"/>
      <c r="V157" s="388"/>
    </row>
    <row r="158" spans="1:25" s="118" customFormat="1" ht="12" customHeight="1" x14ac:dyDescent="0.2">
      <c r="A158" s="162"/>
      <c r="B158" s="226" t="s">
        <v>116</v>
      </c>
      <c r="C158" s="218"/>
      <c r="D158" s="384"/>
      <c r="E158" s="219"/>
      <c r="F158" s="218"/>
      <c r="G158" s="218"/>
      <c r="H158" s="220"/>
      <c r="I158" s="220"/>
      <c r="J158" s="220"/>
      <c r="K158" s="221"/>
      <c r="L158" s="222"/>
      <c r="M158" s="223"/>
      <c r="N158" s="223"/>
      <c r="O158" s="224"/>
      <c r="P158" s="225"/>
      <c r="Q158" s="224"/>
      <c r="R158" s="225"/>
      <c r="S158" s="346"/>
      <c r="T158" s="309">
        <f>T148-SUM(T149:T153,T156:T157)</f>
        <v>0</v>
      </c>
      <c r="U158" s="224"/>
      <c r="V158" s="388"/>
    </row>
    <row r="159" spans="1:25" s="118" customFormat="1" ht="12" customHeight="1" x14ac:dyDescent="0.2">
      <c r="A159" s="162"/>
      <c r="B159" s="60" t="s">
        <v>101</v>
      </c>
      <c r="C159" s="61">
        <v>199</v>
      </c>
      <c r="D159" s="61"/>
      <c r="E159" s="62">
        <v>43476</v>
      </c>
      <c r="F159" s="63">
        <v>1000.89983899</v>
      </c>
      <c r="G159" s="64">
        <v>760</v>
      </c>
      <c r="H159" s="65" t="s">
        <v>101</v>
      </c>
      <c r="I159" s="65"/>
      <c r="J159" s="65"/>
      <c r="K159" s="66"/>
      <c r="L159" s="66"/>
      <c r="M159" s="67"/>
      <c r="N159" s="66"/>
      <c r="O159" s="60"/>
      <c r="P159" s="68"/>
      <c r="Q159" s="69"/>
      <c r="R159" s="68"/>
      <c r="S159" s="347"/>
      <c r="T159" s="292">
        <f>TRUNC(F159*G159,2)</f>
        <v>760683.87</v>
      </c>
      <c r="U159" s="189"/>
      <c r="V159" s="388"/>
    </row>
    <row r="160" spans="1:25" s="118" customFormat="1" ht="12" customHeight="1" x14ac:dyDescent="0.2">
      <c r="A160" s="162"/>
      <c r="B160" s="133" t="s">
        <v>101</v>
      </c>
      <c r="C160" s="134" t="s">
        <v>116</v>
      </c>
      <c r="D160" s="134"/>
      <c r="E160" s="62">
        <v>43476</v>
      </c>
      <c r="F160" s="137"/>
      <c r="G160" s="138"/>
      <c r="H160" s="139" t="s">
        <v>117</v>
      </c>
      <c r="I160" s="139"/>
      <c r="J160" s="139"/>
      <c r="K160" s="140"/>
      <c r="L160" s="140"/>
      <c r="M160" s="141"/>
      <c r="N160" s="140"/>
      <c r="O160" s="133"/>
      <c r="P160" s="142"/>
      <c r="Q160" s="143"/>
      <c r="R160" s="142"/>
      <c r="S160" s="348"/>
      <c r="T160" s="293">
        <f>SUM(T159:T159)</f>
        <v>760683.87</v>
      </c>
      <c r="U160" s="189"/>
      <c r="V160" s="388"/>
    </row>
    <row r="161" spans="1:22" s="118" customFormat="1" ht="12" customHeight="1" x14ac:dyDescent="0.2">
      <c r="A161" s="162"/>
      <c r="B161" s="44" t="s">
        <v>76</v>
      </c>
      <c r="C161" s="23"/>
      <c r="D161" s="43"/>
      <c r="E161" s="43">
        <v>43476</v>
      </c>
      <c r="F161" s="23"/>
      <c r="G161" s="23"/>
      <c r="H161" s="38" t="s">
        <v>8</v>
      </c>
      <c r="I161" s="38" t="s">
        <v>58</v>
      </c>
      <c r="J161" s="25" t="s">
        <v>52</v>
      </c>
      <c r="K161" s="42">
        <v>341</v>
      </c>
      <c r="L161" s="41" t="s">
        <v>62</v>
      </c>
      <c r="M161" s="40" t="s">
        <v>55</v>
      </c>
      <c r="N161" s="42" t="s">
        <v>53</v>
      </c>
      <c r="O161" s="44">
        <f>T160*0.5%</f>
        <v>3803.4193500000001</v>
      </c>
      <c r="P161" s="39">
        <v>0.1115</v>
      </c>
      <c r="Q161" s="27">
        <f>O161/(1-P161)</f>
        <v>4280.7195835678112</v>
      </c>
      <c r="R161" s="39">
        <v>6.1499999999999999E-2</v>
      </c>
      <c r="S161" s="331">
        <f t="shared" ref="S161:S163" si="28">R161*Q161</f>
        <v>263.26425438942039</v>
      </c>
      <c r="T161" s="294">
        <f>Q161*(1-R161)</f>
        <v>4017.4553291783909</v>
      </c>
      <c r="U161" s="26"/>
      <c r="V161" s="388"/>
    </row>
    <row r="162" spans="1:22" s="118" customFormat="1" ht="12" customHeight="1" x14ac:dyDescent="0.2">
      <c r="A162" s="162"/>
      <c r="B162" s="202" t="s">
        <v>76</v>
      </c>
      <c r="C162" s="203"/>
      <c r="D162" s="204"/>
      <c r="E162" s="204">
        <v>43476</v>
      </c>
      <c r="F162" s="203"/>
      <c r="G162" s="203"/>
      <c r="H162" s="184" t="s">
        <v>60</v>
      </c>
      <c r="I162" s="184" t="s">
        <v>58</v>
      </c>
      <c r="J162" s="182" t="s">
        <v>52</v>
      </c>
      <c r="K162" s="185">
        <v>341</v>
      </c>
      <c r="L162" s="186" t="s">
        <v>62</v>
      </c>
      <c r="M162" s="187" t="s">
        <v>55</v>
      </c>
      <c r="N162" s="185" t="s">
        <v>53</v>
      </c>
      <c r="O162" s="181">
        <f>(T160*2.2%)</f>
        <v>16735.045140000002</v>
      </c>
      <c r="P162" s="188">
        <v>0.1115</v>
      </c>
      <c r="Q162" s="189">
        <f>O162/(1-P162)</f>
        <v>18835.166167698371</v>
      </c>
      <c r="R162" s="188">
        <v>6.1499999999999999E-2</v>
      </c>
      <c r="S162" s="332">
        <f t="shared" si="28"/>
        <v>1158.3627193134498</v>
      </c>
      <c r="T162" s="295">
        <f>Q162*(1-R162)</f>
        <v>17676.803448384922</v>
      </c>
      <c r="U162" s="213"/>
      <c r="V162" s="388"/>
    </row>
    <row r="163" spans="1:22" s="118" customFormat="1" ht="12" customHeight="1" x14ac:dyDescent="0.2">
      <c r="A163" s="162"/>
      <c r="B163" s="44" t="s">
        <v>76</v>
      </c>
      <c r="C163" s="23"/>
      <c r="D163" s="43"/>
      <c r="E163" s="43">
        <v>43476</v>
      </c>
      <c r="F163" s="23"/>
      <c r="G163" s="23"/>
      <c r="H163" s="38" t="s">
        <v>122</v>
      </c>
      <c r="I163" s="38" t="s">
        <v>58</v>
      </c>
      <c r="J163" s="25" t="s">
        <v>52</v>
      </c>
      <c r="K163" s="42">
        <v>341</v>
      </c>
      <c r="L163" s="41" t="s">
        <v>62</v>
      </c>
      <c r="M163" s="40" t="s">
        <v>55</v>
      </c>
      <c r="N163" s="42" t="s">
        <v>53</v>
      </c>
      <c r="O163" s="58">
        <f>0.9%*T160</f>
        <v>6846.1548300000004</v>
      </c>
      <c r="P163" s="39">
        <v>0.1115</v>
      </c>
      <c r="Q163" s="27">
        <f>O163/(1-P163)</f>
        <v>7705.2952504220602</v>
      </c>
      <c r="R163" s="39">
        <v>6.1499999999999999E-2</v>
      </c>
      <c r="S163" s="331">
        <f t="shared" si="28"/>
        <v>473.8756579009567</v>
      </c>
      <c r="T163" s="294">
        <f>Q163*(1-R163)</f>
        <v>7231.4195925211034</v>
      </c>
      <c r="U163" s="27"/>
      <c r="V163" s="388"/>
    </row>
    <row r="164" spans="1:22" s="118" customFormat="1" ht="12" customHeight="1" x14ac:dyDescent="0.2">
      <c r="A164" s="162"/>
      <c r="B164" s="254"/>
      <c r="C164" s="255"/>
      <c r="D164" s="368"/>
      <c r="E164" s="256"/>
      <c r="F164" s="255"/>
      <c r="G164" s="255"/>
      <c r="H164" s="256" t="s">
        <v>40</v>
      </c>
      <c r="I164" s="256" t="s">
        <v>26</v>
      </c>
      <c r="J164" s="256"/>
      <c r="K164" s="420"/>
      <c r="L164" s="420"/>
      <c r="M164" s="420"/>
      <c r="N164" s="420"/>
      <c r="O164" s="257"/>
      <c r="P164" s="258"/>
      <c r="Q164" s="257"/>
      <c r="R164" s="258"/>
      <c r="S164" s="349"/>
      <c r="T164" s="259">
        <f>SUM(T165:T165)</f>
        <v>1895.5026316038268</v>
      </c>
      <c r="U164" s="213"/>
      <c r="V164" s="388"/>
    </row>
    <row r="165" spans="1:22" s="118" customFormat="1" ht="12" customHeight="1" x14ac:dyDescent="0.2">
      <c r="A165" s="162"/>
      <c r="B165" s="370" t="s">
        <v>77</v>
      </c>
      <c r="C165" s="371"/>
      <c r="D165" s="386"/>
      <c r="E165" s="372">
        <v>43476</v>
      </c>
      <c r="F165" s="371"/>
      <c r="G165" s="371"/>
      <c r="H165" s="373" t="s">
        <v>59</v>
      </c>
      <c r="I165" s="374" t="s">
        <v>58</v>
      </c>
      <c r="J165" s="374" t="s">
        <v>52</v>
      </c>
      <c r="K165" s="419"/>
      <c r="L165" s="419"/>
      <c r="M165" s="419"/>
      <c r="N165" s="419"/>
      <c r="O165" s="277"/>
      <c r="P165" s="278"/>
      <c r="Q165" s="279"/>
      <c r="R165" s="278"/>
      <c r="S165" s="352"/>
      <c r="T165" s="375">
        <f>SUMIF($J$161:$J$163,J165,$S$161:$S$163)</f>
        <v>1895.5026316038268</v>
      </c>
      <c r="U165" s="126"/>
      <c r="V165" s="388"/>
    </row>
    <row r="166" spans="1:22" s="118" customFormat="1" ht="12" customHeight="1" x14ac:dyDescent="0.2">
      <c r="A166" s="162"/>
      <c r="B166" s="202" t="s">
        <v>79</v>
      </c>
      <c r="C166" s="203"/>
      <c r="D166" s="378"/>
      <c r="E166" s="204">
        <v>43476</v>
      </c>
      <c r="F166" s="203"/>
      <c r="G166" s="203"/>
      <c r="H166" s="184" t="s">
        <v>141</v>
      </c>
      <c r="I166" s="184" t="s">
        <v>26</v>
      </c>
      <c r="J166" s="182" t="s">
        <v>29</v>
      </c>
      <c r="K166" s="185">
        <v>341</v>
      </c>
      <c r="L166" s="186" t="s">
        <v>62</v>
      </c>
      <c r="M166" s="187" t="s">
        <v>55</v>
      </c>
      <c r="N166" s="187" t="s">
        <v>115</v>
      </c>
      <c r="O166" s="205"/>
      <c r="P166" s="188"/>
      <c r="Q166" s="189"/>
      <c r="R166" s="188"/>
      <c r="S166" s="332"/>
      <c r="T166" s="189">
        <v>21705.759999999998</v>
      </c>
      <c r="U166" s="182"/>
      <c r="V166" s="388"/>
    </row>
    <row r="167" spans="1:22" s="118" customFormat="1" ht="12" customHeight="1" x14ac:dyDescent="0.2">
      <c r="A167" s="162"/>
      <c r="B167" s="151" t="s">
        <v>79</v>
      </c>
      <c r="C167" s="59"/>
      <c r="D167" s="377"/>
      <c r="E167" s="152">
        <v>43476</v>
      </c>
      <c r="F167" s="59"/>
      <c r="G167" s="59"/>
      <c r="H167" s="121" t="s">
        <v>37</v>
      </c>
      <c r="I167" s="121" t="s">
        <v>26</v>
      </c>
      <c r="J167" s="56" t="s">
        <v>29</v>
      </c>
      <c r="K167" s="122">
        <v>341</v>
      </c>
      <c r="L167" s="176" t="s">
        <v>62</v>
      </c>
      <c r="M167" s="123" t="s">
        <v>55</v>
      </c>
      <c r="N167" s="123" t="s">
        <v>115</v>
      </c>
      <c r="O167" s="153"/>
      <c r="P167" s="125"/>
      <c r="Q167" s="57"/>
      <c r="R167" s="125"/>
      <c r="S167" s="345"/>
      <c r="T167" s="308">
        <v>35612.82</v>
      </c>
      <c r="U167" s="25"/>
      <c r="V167" s="388"/>
    </row>
    <row r="168" spans="1:22" s="118" customFormat="1" ht="12" customHeight="1" x14ac:dyDescent="0.2">
      <c r="A168" s="162"/>
      <c r="B168" s="202" t="s">
        <v>79</v>
      </c>
      <c r="C168" s="203"/>
      <c r="D168" s="378"/>
      <c r="E168" s="204">
        <v>43476</v>
      </c>
      <c r="F168" s="203"/>
      <c r="G168" s="203"/>
      <c r="H168" s="184" t="s">
        <v>159</v>
      </c>
      <c r="I168" s="184" t="s">
        <v>26</v>
      </c>
      <c r="J168" s="182" t="s">
        <v>29</v>
      </c>
      <c r="K168" s="185">
        <v>341</v>
      </c>
      <c r="L168" s="186" t="s">
        <v>62</v>
      </c>
      <c r="M168" s="187" t="s">
        <v>55</v>
      </c>
      <c r="N168" s="187" t="s">
        <v>115</v>
      </c>
      <c r="O168" s="205"/>
      <c r="P168" s="188"/>
      <c r="Q168" s="189"/>
      <c r="R168" s="188"/>
      <c r="S168" s="332"/>
      <c r="T168" s="295">
        <f>T160-SUM(T161:T164)-SUM(T166:T167)</f>
        <v>672544.1089983118</v>
      </c>
      <c r="U168" s="181"/>
      <c r="V168" s="388"/>
    </row>
    <row r="169" spans="1:22" s="118" customFormat="1" ht="12" customHeight="1" x14ac:dyDescent="0.2">
      <c r="A169" s="162"/>
      <c r="B169" s="226" t="s">
        <v>116</v>
      </c>
      <c r="C169" s="218"/>
      <c r="D169" s="384"/>
      <c r="E169" s="219"/>
      <c r="F169" s="218"/>
      <c r="G169" s="218"/>
      <c r="H169" s="220"/>
      <c r="I169" s="220"/>
      <c r="J169" s="220"/>
      <c r="K169" s="221"/>
      <c r="L169" s="222"/>
      <c r="M169" s="223"/>
      <c r="N169" s="223"/>
      <c r="O169" s="224"/>
      <c r="P169" s="225"/>
      <c r="Q169" s="224"/>
      <c r="R169" s="225"/>
      <c r="S169" s="346"/>
      <c r="T169" s="309">
        <f>T160-SUM(T161:T164,T166:T168)</f>
        <v>0</v>
      </c>
      <c r="U169" s="387"/>
      <c r="V169" s="388"/>
    </row>
    <row r="170" spans="1:22" s="118" customFormat="1" ht="12" customHeight="1" x14ac:dyDescent="0.2">
      <c r="A170" s="162"/>
      <c r="B170" s="60" t="s">
        <v>101</v>
      </c>
      <c r="C170" s="61">
        <v>199</v>
      </c>
      <c r="D170" s="61"/>
      <c r="E170" s="62">
        <v>43713</v>
      </c>
      <c r="F170" s="63">
        <v>745.82635745000005</v>
      </c>
      <c r="G170" s="64">
        <v>3190</v>
      </c>
      <c r="H170" s="65" t="s">
        <v>101</v>
      </c>
      <c r="I170" s="65"/>
      <c r="J170" s="65"/>
      <c r="K170" s="66"/>
      <c r="L170" s="66"/>
      <c r="M170" s="67"/>
      <c r="N170" s="66"/>
      <c r="O170" s="60"/>
      <c r="P170" s="68"/>
      <c r="Q170" s="69"/>
      <c r="R170" s="68"/>
      <c r="S170" s="347"/>
      <c r="T170" s="292">
        <f>TRUNC(F170*G170,2)</f>
        <v>2379186.08</v>
      </c>
      <c r="U170" s="189"/>
      <c r="V170" s="388"/>
    </row>
    <row r="171" spans="1:22" s="118" customFormat="1" ht="12" customHeight="1" x14ac:dyDescent="0.2">
      <c r="A171" s="162"/>
      <c r="B171" s="133" t="s">
        <v>101</v>
      </c>
      <c r="C171" s="134" t="s">
        <v>116</v>
      </c>
      <c r="D171" s="134"/>
      <c r="E171" s="62">
        <f>E170</f>
        <v>43713</v>
      </c>
      <c r="F171" s="137"/>
      <c r="G171" s="138"/>
      <c r="H171" s="139" t="s">
        <v>117</v>
      </c>
      <c r="I171" s="139"/>
      <c r="J171" s="139"/>
      <c r="K171" s="140"/>
      <c r="L171" s="140"/>
      <c r="M171" s="141"/>
      <c r="N171" s="140"/>
      <c r="O171" s="133"/>
      <c r="P171" s="142"/>
      <c r="Q171" s="143"/>
      <c r="R171" s="142"/>
      <c r="S171" s="348"/>
      <c r="T171" s="293">
        <f>SUM(T170:T170)</f>
        <v>2379186.08</v>
      </c>
      <c r="U171" s="189"/>
      <c r="V171" s="388"/>
    </row>
    <row r="172" spans="1:22" s="118" customFormat="1" ht="12" customHeight="1" x14ac:dyDescent="0.2">
      <c r="A172" s="162"/>
      <c r="B172" s="44" t="s">
        <v>76</v>
      </c>
      <c r="C172" s="23"/>
      <c r="D172" s="43"/>
      <c r="E172" s="43">
        <f>E171</f>
        <v>43713</v>
      </c>
      <c r="F172" s="23"/>
      <c r="G172" s="23"/>
      <c r="H172" s="38" t="s">
        <v>8</v>
      </c>
      <c r="I172" s="38" t="s">
        <v>58</v>
      </c>
      <c r="J172" s="25" t="s">
        <v>52</v>
      </c>
      <c r="K172" s="42">
        <v>341</v>
      </c>
      <c r="L172" s="41" t="s">
        <v>62</v>
      </c>
      <c r="M172" s="40" t="s">
        <v>55</v>
      </c>
      <c r="N172" s="42" t="s">
        <v>53</v>
      </c>
      <c r="O172" s="44">
        <f>T171*0.5%</f>
        <v>11895.930400000001</v>
      </c>
      <c r="P172" s="39">
        <v>0.1115</v>
      </c>
      <c r="Q172" s="27">
        <f>O172/(1-P172)</f>
        <v>13388.779290939789</v>
      </c>
      <c r="R172" s="39">
        <v>6.1499999999999999E-2</v>
      </c>
      <c r="S172" s="331">
        <f t="shared" ref="S172:S174" si="29">R172*Q172</f>
        <v>823.40992639279693</v>
      </c>
      <c r="T172" s="294">
        <f>Q172*(1-R172)</f>
        <v>12565.369364546992</v>
      </c>
      <c r="U172" s="26"/>
      <c r="V172" s="388"/>
    </row>
    <row r="173" spans="1:22" s="118" customFormat="1" ht="12" customHeight="1" x14ac:dyDescent="0.2">
      <c r="A173" s="162"/>
      <c r="B173" s="202" t="s">
        <v>76</v>
      </c>
      <c r="C173" s="203"/>
      <c r="D173" s="204"/>
      <c r="E173" s="204">
        <f t="shared" ref="E173:E182" si="30">E172</f>
        <v>43713</v>
      </c>
      <c r="F173" s="203"/>
      <c r="G173" s="203"/>
      <c r="H173" s="184" t="s">
        <v>60</v>
      </c>
      <c r="I173" s="184" t="s">
        <v>58</v>
      </c>
      <c r="J173" s="182" t="s">
        <v>52</v>
      </c>
      <c r="K173" s="185">
        <v>341</v>
      </c>
      <c r="L173" s="186" t="s">
        <v>62</v>
      </c>
      <c r="M173" s="187" t="s">
        <v>55</v>
      </c>
      <c r="N173" s="185" t="s">
        <v>53</v>
      </c>
      <c r="O173" s="181">
        <f>(T171*2.2%)</f>
        <v>52342.093760000003</v>
      </c>
      <c r="P173" s="188">
        <v>0.1115</v>
      </c>
      <c r="Q173" s="189">
        <f>O173/(1-P173)-SUM(Q175:Q177)</f>
        <v>48435.954005135063</v>
      </c>
      <c r="R173" s="188">
        <v>6.1499999999999999E-2</v>
      </c>
      <c r="S173" s="332">
        <f t="shared" si="29"/>
        <v>2978.8111713158064</v>
      </c>
      <c r="T173" s="295">
        <f>Q173*(1-R173)</f>
        <v>45457.142833819256</v>
      </c>
      <c r="U173" s="213"/>
      <c r="V173" s="388"/>
    </row>
    <row r="174" spans="1:22" s="118" customFormat="1" ht="12" customHeight="1" x14ac:dyDescent="0.2">
      <c r="A174" s="162"/>
      <c r="B174" s="44" t="s">
        <v>76</v>
      </c>
      <c r="C174" s="23"/>
      <c r="D174" s="43"/>
      <c r="E174" s="43">
        <f t="shared" si="30"/>
        <v>43713</v>
      </c>
      <c r="F174" s="23"/>
      <c r="G174" s="23"/>
      <c r="H174" s="38" t="s">
        <v>122</v>
      </c>
      <c r="I174" s="38" t="s">
        <v>58</v>
      </c>
      <c r="J174" s="25" t="s">
        <v>52</v>
      </c>
      <c r="K174" s="42">
        <v>341</v>
      </c>
      <c r="L174" s="41" t="s">
        <v>62</v>
      </c>
      <c r="M174" s="40" t="s">
        <v>55</v>
      </c>
      <c r="N174" s="42" t="s">
        <v>53</v>
      </c>
      <c r="O174" s="58">
        <f>0.9%*T171</f>
        <v>21412.674720000003</v>
      </c>
      <c r="P174" s="39">
        <v>0.1115</v>
      </c>
      <c r="Q174" s="27">
        <f>O174/(1-P174)</f>
        <v>24099.80272369162</v>
      </c>
      <c r="R174" s="39">
        <v>6.1499999999999999E-2</v>
      </c>
      <c r="S174" s="331">
        <f t="shared" si="29"/>
        <v>1482.1378675070346</v>
      </c>
      <c r="T174" s="294">
        <f>Q174*(1-R174)</f>
        <v>22617.664856184587</v>
      </c>
      <c r="U174" s="27"/>
      <c r="V174" s="388"/>
    </row>
    <row r="175" spans="1:22" s="118" customFormat="1" ht="12" customHeight="1" x14ac:dyDescent="0.2">
      <c r="A175" s="162"/>
      <c r="B175" s="191" t="s">
        <v>78</v>
      </c>
      <c r="C175" s="192"/>
      <c r="D175" s="194" t="s">
        <v>160</v>
      </c>
      <c r="E175" s="193">
        <f t="shared" si="30"/>
        <v>43713</v>
      </c>
      <c r="F175" s="203"/>
      <c r="G175" s="203"/>
      <c r="H175" s="192" t="s">
        <v>108</v>
      </c>
      <c r="I175" s="192" t="s">
        <v>118</v>
      </c>
      <c r="J175" s="192" t="s">
        <v>131</v>
      </c>
      <c r="K175" s="194"/>
      <c r="L175" s="194"/>
      <c r="M175" s="195"/>
      <c r="N175" s="194"/>
      <c r="O175" s="191"/>
      <c r="P175" s="196"/>
      <c r="Q175" s="191">
        <f>0.25%*T171</f>
        <v>5947.9652000000006</v>
      </c>
      <c r="R175" s="196">
        <v>6.1499999999999999E-2</v>
      </c>
      <c r="S175" s="333">
        <f>R175*Q175</f>
        <v>365.79985980000004</v>
      </c>
      <c r="T175" s="296">
        <f t="shared" ref="T175" si="31">Q175*(1-R175)</f>
        <v>5582.1653402000002</v>
      </c>
      <c r="U175" s="27"/>
      <c r="V175" s="388"/>
    </row>
    <row r="176" spans="1:22" s="118" customFormat="1" ht="12" customHeight="1" x14ac:dyDescent="0.2">
      <c r="A176" s="162"/>
      <c r="B176" s="191" t="s">
        <v>78</v>
      </c>
      <c r="C176" s="192"/>
      <c r="D176" s="194" t="s">
        <v>160</v>
      </c>
      <c r="E176" s="193">
        <f t="shared" si="30"/>
        <v>43713</v>
      </c>
      <c r="F176" s="203"/>
      <c r="G176" s="203"/>
      <c r="H176" s="192" t="s">
        <v>170</v>
      </c>
      <c r="I176" s="192" t="s">
        <v>118</v>
      </c>
      <c r="J176" s="192" t="s">
        <v>131</v>
      </c>
      <c r="K176" s="194"/>
      <c r="L176" s="194"/>
      <c r="M176" s="195"/>
      <c r="N176" s="194"/>
      <c r="O176" s="191"/>
      <c r="P176" s="196"/>
      <c r="Q176" s="191">
        <f>0.25%*T147</f>
        <v>2625</v>
      </c>
      <c r="R176" s="196">
        <v>6.1499999999999999E-2</v>
      </c>
      <c r="S176" s="333">
        <f t="shared" ref="S176" si="32">R176*Q176</f>
        <v>161.4375</v>
      </c>
      <c r="T176" s="296">
        <f t="shared" ref="T176" si="33">Q176*(1-R176)</f>
        <v>2463.5625</v>
      </c>
      <c r="U176" s="27"/>
      <c r="V176" s="388"/>
    </row>
    <row r="177" spans="1:22" s="118" customFormat="1" ht="12" customHeight="1" x14ac:dyDescent="0.2">
      <c r="A177" s="162"/>
      <c r="B177" s="191" t="s">
        <v>78</v>
      </c>
      <c r="C177" s="192"/>
      <c r="D177" s="194" t="s">
        <v>160</v>
      </c>
      <c r="E177" s="193">
        <f t="shared" si="30"/>
        <v>43713</v>
      </c>
      <c r="F177" s="203"/>
      <c r="G177" s="203"/>
      <c r="H177" s="192" t="s">
        <v>171</v>
      </c>
      <c r="I177" s="192" t="s">
        <v>118</v>
      </c>
      <c r="J177" s="192" t="s">
        <v>131</v>
      </c>
      <c r="K177" s="194"/>
      <c r="L177" s="194"/>
      <c r="M177" s="195"/>
      <c r="N177" s="194"/>
      <c r="O177" s="191"/>
      <c r="P177" s="196"/>
      <c r="Q177" s="191">
        <f>0.25%*T159</f>
        <v>1901.7096750000001</v>
      </c>
      <c r="R177" s="196">
        <v>6.1499999999999999E-2</v>
      </c>
      <c r="S177" s="333">
        <f t="shared" ref="S177" si="34">R177*Q177</f>
        <v>116.9551450125</v>
      </c>
      <c r="T177" s="191">
        <f t="shared" ref="T177" si="35">Q177*(1-R177)</f>
        <v>1784.7545299875001</v>
      </c>
      <c r="U177" s="27"/>
      <c r="V177" s="388"/>
    </row>
    <row r="178" spans="1:22" s="118" customFormat="1" ht="12" customHeight="1" x14ac:dyDescent="0.2">
      <c r="A178" s="162"/>
      <c r="B178" s="254"/>
      <c r="C178" s="255"/>
      <c r="D178" s="394"/>
      <c r="E178" s="256"/>
      <c r="F178" s="255"/>
      <c r="G178" s="255"/>
      <c r="H178" s="256" t="s">
        <v>40</v>
      </c>
      <c r="I178" s="256" t="s">
        <v>26</v>
      </c>
      <c r="J178" s="256"/>
      <c r="K178" s="420"/>
      <c r="L178" s="420"/>
      <c r="M178" s="420"/>
      <c r="N178" s="420"/>
      <c r="O178" s="257"/>
      <c r="P178" s="258"/>
      <c r="Q178" s="257"/>
      <c r="R178" s="258"/>
      <c r="S178" s="349"/>
      <c r="T178" s="259">
        <f>SUM(T179:T180)</f>
        <v>5928.5514700281383</v>
      </c>
      <c r="U178" s="213"/>
      <c r="V178" s="388"/>
    </row>
    <row r="179" spans="1:22" s="118" customFormat="1" ht="12" customHeight="1" x14ac:dyDescent="0.2">
      <c r="A179" s="162"/>
      <c r="B179" s="237" t="s">
        <v>77</v>
      </c>
      <c r="C179" s="56"/>
      <c r="D179" s="122"/>
      <c r="E179" s="145">
        <f>E171</f>
        <v>43713</v>
      </c>
      <c r="F179" s="56"/>
      <c r="G179" s="56"/>
      <c r="H179" s="146" t="s">
        <v>120</v>
      </c>
      <c r="I179" s="147" t="s">
        <v>58</v>
      </c>
      <c r="J179" s="147" t="s">
        <v>131</v>
      </c>
      <c r="K179" s="418"/>
      <c r="L179" s="418"/>
      <c r="M179" s="418"/>
      <c r="N179" s="418"/>
      <c r="O179" s="148"/>
      <c r="P179" s="125"/>
      <c r="Q179" s="149"/>
      <c r="R179" s="125"/>
      <c r="S179" s="343"/>
      <c r="T179" s="409">
        <f>SUMIF($J$172:$J$177,J179,$S$172:$S$177)</f>
        <v>644.19250481250003</v>
      </c>
      <c r="U179" s="213"/>
      <c r="V179" s="388"/>
    </row>
    <row r="180" spans="1:22" s="118" customFormat="1" ht="12" customHeight="1" x14ac:dyDescent="0.2">
      <c r="A180" s="162"/>
      <c r="B180" s="370" t="s">
        <v>77</v>
      </c>
      <c r="C180" s="371"/>
      <c r="D180" s="386"/>
      <c r="E180" s="372">
        <f t="shared" si="30"/>
        <v>43713</v>
      </c>
      <c r="F180" s="371"/>
      <c r="G180" s="371"/>
      <c r="H180" s="373" t="s">
        <v>59</v>
      </c>
      <c r="I180" s="374" t="s">
        <v>58</v>
      </c>
      <c r="J180" s="374" t="s">
        <v>52</v>
      </c>
      <c r="K180" s="419"/>
      <c r="L180" s="419"/>
      <c r="M180" s="419"/>
      <c r="N180" s="419"/>
      <c r="O180" s="277"/>
      <c r="P180" s="278"/>
      <c r="Q180" s="279"/>
      <c r="R180" s="278"/>
      <c r="S180" s="352"/>
      <c r="T180" s="375">
        <f>SUMIF($J$172:$J$177,J180,$S$172:$S$177)</f>
        <v>5284.3589652156379</v>
      </c>
      <c r="U180" s="126"/>
      <c r="V180" s="388"/>
    </row>
    <row r="181" spans="1:22" s="118" customFormat="1" ht="12" customHeight="1" x14ac:dyDescent="0.2">
      <c r="A181" s="162"/>
      <c r="B181" s="151" t="s">
        <v>79</v>
      </c>
      <c r="C181" s="59"/>
      <c r="D181" s="377"/>
      <c r="E181" s="152">
        <f t="shared" si="30"/>
        <v>43713</v>
      </c>
      <c r="F181" s="59"/>
      <c r="G181" s="59"/>
      <c r="H181" s="121" t="s">
        <v>37</v>
      </c>
      <c r="I181" s="121" t="s">
        <v>26</v>
      </c>
      <c r="J181" s="56" t="s">
        <v>29</v>
      </c>
      <c r="K181" s="122">
        <v>341</v>
      </c>
      <c r="L181" s="176" t="s">
        <v>62</v>
      </c>
      <c r="M181" s="123" t="s">
        <v>172</v>
      </c>
      <c r="N181" s="123" t="s">
        <v>173</v>
      </c>
      <c r="O181" s="153"/>
      <c r="P181" s="125"/>
      <c r="Q181" s="57"/>
      <c r="R181" s="125"/>
      <c r="S181" s="345"/>
      <c r="T181" s="308">
        <v>177333.32</v>
      </c>
      <c r="U181" s="25"/>
      <c r="V181" s="388"/>
    </row>
    <row r="182" spans="1:22" s="118" customFormat="1" ht="12" customHeight="1" x14ac:dyDescent="0.2">
      <c r="A182" s="162"/>
      <c r="B182" s="202" t="s">
        <v>79</v>
      </c>
      <c r="C182" s="203"/>
      <c r="D182" s="378"/>
      <c r="E182" s="204">
        <f t="shared" si="30"/>
        <v>43713</v>
      </c>
      <c r="F182" s="203"/>
      <c r="G182" s="203"/>
      <c r="H182" s="184" t="s">
        <v>159</v>
      </c>
      <c r="I182" s="184" t="s">
        <v>26</v>
      </c>
      <c r="J182" s="182" t="s">
        <v>29</v>
      </c>
      <c r="K182" s="185">
        <v>341</v>
      </c>
      <c r="L182" s="186" t="s">
        <v>62</v>
      </c>
      <c r="M182" s="187" t="s">
        <v>172</v>
      </c>
      <c r="N182" s="187" t="s">
        <v>173</v>
      </c>
      <c r="O182" s="205"/>
      <c r="P182" s="188"/>
      <c r="Q182" s="189"/>
      <c r="R182" s="188"/>
      <c r="S182" s="332"/>
      <c r="T182" s="295">
        <f>T171-SUM(T172:T178)-SUM(T181:T181)</f>
        <v>2105453.549105234</v>
      </c>
      <c r="U182" s="181"/>
      <c r="V182" s="388"/>
    </row>
    <row r="183" spans="1:22" s="118" customFormat="1" ht="12" customHeight="1" x14ac:dyDescent="0.2">
      <c r="A183" s="162"/>
      <c r="B183" s="226" t="s">
        <v>116</v>
      </c>
      <c r="C183" s="218"/>
      <c r="D183" s="384"/>
      <c r="E183" s="219"/>
      <c r="F183" s="218"/>
      <c r="G183" s="218"/>
      <c r="H183" s="220"/>
      <c r="I183" s="220"/>
      <c r="J183" s="220"/>
      <c r="K183" s="221"/>
      <c r="L183" s="222"/>
      <c r="M183" s="223"/>
      <c r="N183" s="223"/>
      <c r="O183" s="224"/>
      <c r="P183" s="225"/>
      <c r="Q183" s="224"/>
      <c r="R183" s="225"/>
      <c r="S183" s="346"/>
      <c r="T183" s="309">
        <f>T171-SUM(T172:T178,T181:T182)</f>
        <v>0</v>
      </c>
      <c r="U183" s="387"/>
      <c r="V183" s="388"/>
    </row>
    <row r="184" spans="1:22" s="118" customFormat="1" ht="12" customHeight="1" x14ac:dyDescent="0.2">
      <c r="A184" s="162"/>
      <c r="B184" s="60" t="s">
        <v>101</v>
      </c>
      <c r="C184" s="61">
        <v>200</v>
      </c>
      <c r="D184" s="61"/>
      <c r="E184" s="62">
        <v>43724</v>
      </c>
      <c r="F184" s="63">
        <v>756.49479140999995</v>
      </c>
      <c r="G184" s="64">
        <v>2025</v>
      </c>
      <c r="H184" s="65" t="s">
        <v>101</v>
      </c>
      <c r="I184" s="65"/>
      <c r="J184" s="65"/>
      <c r="K184" s="66"/>
      <c r="L184" s="66"/>
      <c r="M184" s="67"/>
      <c r="N184" s="66"/>
      <c r="O184" s="60"/>
      <c r="P184" s="68"/>
      <c r="Q184" s="69"/>
      <c r="R184" s="68"/>
      <c r="S184" s="347"/>
      <c r="T184" s="292">
        <f>TRUNC(F184*G184,2)</f>
        <v>1531901.95</v>
      </c>
      <c r="U184" s="189"/>
      <c r="V184" s="388"/>
    </row>
    <row r="185" spans="1:22" s="118" customFormat="1" ht="12" customHeight="1" x14ac:dyDescent="0.2">
      <c r="A185" s="162"/>
      <c r="B185" s="60" t="s">
        <v>101</v>
      </c>
      <c r="C185" s="61">
        <v>203</v>
      </c>
      <c r="D185" s="61"/>
      <c r="E185" s="62">
        <v>43724</v>
      </c>
      <c r="F185" s="63">
        <v>1000</v>
      </c>
      <c r="G185" s="64">
        <v>2375</v>
      </c>
      <c r="H185" s="65" t="s">
        <v>101</v>
      </c>
      <c r="I185" s="65"/>
      <c r="J185" s="65"/>
      <c r="K185" s="66"/>
      <c r="L185" s="66"/>
      <c r="M185" s="67"/>
      <c r="N185" s="66"/>
      <c r="O185" s="60"/>
      <c r="P185" s="68"/>
      <c r="Q185" s="69"/>
      <c r="R185" s="68"/>
      <c r="S185" s="347"/>
      <c r="T185" s="292">
        <f>TRUNC(F185*G185,2)</f>
        <v>2375000</v>
      </c>
      <c r="U185" s="189"/>
      <c r="V185" s="388"/>
    </row>
    <row r="186" spans="1:22" s="118" customFormat="1" ht="12" customHeight="1" x14ac:dyDescent="0.2">
      <c r="A186" s="162"/>
      <c r="B186" s="133" t="s">
        <v>101</v>
      </c>
      <c r="C186" s="134" t="s">
        <v>116</v>
      </c>
      <c r="D186" s="134"/>
      <c r="E186" s="62">
        <f>E184</f>
        <v>43724</v>
      </c>
      <c r="F186" s="137"/>
      <c r="G186" s="138"/>
      <c r="H186" s="139" t="s">
        <v>117</v>
      </c>
      <c r="I186" s="139"/>
      <c r="J186" s="139"/>
      <c r="K186" s="140"/>
      <c r="L186" s="140"/>
      <c r="M186" s="141"/>
      <c r="N186" s="140"/>
      <c r="O186" s="133"/>
      <c r="P186" s="142"/>
      <c r="Q186" s="143"/>
      <c r="R186" s="142"/>
      <c r="S186" s="348"/>
      <c r="T186" s="293">
        <f>T184+T185</f>
        <v>3906901.95</v>
      </c>
      <c r="U186" s="189"/>
      <c r="V186" s="388"/>
    </row>
    <row r="187" spans="1:22" s="118" customFormat="1" ht="12" customHeight="1" x14ac:dyDescent="0.2">
      <c r="A187" s="162"/>
      <c r="B187" s="44" t="s">
        <v>76</v>
      </c>
      <c r="C187" s="23"/>
      <c r="D187" s="43"/>
      <c r="E187" s="43">
        <f>E186</f>
        <v>43724</v>
      </c>
      <c r="F187" s="23"/>
      <c r="G187" s="23"/>
      <c r="H187" s="38" t="s">
        <v>8</v>
      </c>
      <c r="I187" s="38" t="s">
        <v>58</v>
      </c>
      <c r="J187" s="25" t="s">
        <v>52</v>
      </c>
      <c r="K187" s="42">
        <v>341</v>
      </c>
      <c r="L187" s="41" t="s">
        <v>62</v>
      </c>
      <c r="M187" s="40" t="s">
        <v>55</v>
      </c>
      <c r="N187" s="42" t="s">
        <v>53</v>
      </c>
      <c r="O187" s="44">
        <f>T186*0.5%</f>
        <v>19534.509750000001</v>
      </c>
      <c r="P187" s="39">
        <v>0.1115</v>
      </c>
      <c r="Q187" s="27">
        <f>O187/(1-P187)</f>
        <v>21985.942318514353</v>
      </c>
      <c r="R187" s="39">
        <v>6.1499999999999999E-2</v>
      </c>
      <c r="S187" s="331">
        <f t="shared" ref="S187:S189" si="36">R187*Q187</f>
        <v>1352.1354525886327</v>
      </c>
      <c r="T187" s="294">
        <f>Q187*(1-R187)</f>
        <v>20633.806865925719</v>
      </c>
      <c r="U187" s="26"/>
      <c r="V187" s="388"/>
    </row>
    <row r="188" spans="1:22" s="118" customFormat="1" ht="12" customHeight="1" x14ac:dyDescent="0.2">
      <c r="A188" s="162"/>
      <c r="B188" s="202" t="s">
        <v>76</v>
      </c>
      <c r="C188" s="203"/>
      <c r="D188" s="204"/>
      <c r="E188" s="204">
        <f>E186</f>
        <v>43724</v>
      </c>
      <c r="F188" s="203"/>
      <c r="G188" s="203"/>
      <c r="H188" s="184" t="s">
        <v>60</v>
      </c>
      <c r="I188" s="184" t="s">
        <v>58</v>
      </c>
      <c r="J188" s="182" t="s">
        <v>52</v>
      </c>
      <c r="K188" s="185">
        <v>341</v>
      </c>
      <c r="L188" s="186" t="s">
        <v>62</v>
      </c>
      <c r="M188" s="187" t="s">
        <v>55</v>
      </c>
      <c r="N188" s="185" t="s">
        <v>53</v>
      </c>
      <c r="O188" s="181">
        <f>(T186*2.2%)</f>
        <v>85951.842900000018</v>
      </c>
      <c r="P188" s="188">
        <v>0.1115</v>
      </c>
      <c r="Q188" s="189">
        <f>O188/(1-P188)-SUM(Q190:Q190)</f>
        <v>86970.89132646317</v>
      </c>
      <c r="R188" s="188">
        <v>6.1499999999999999E-2</v>
      </c>
      <c r="S188" s="332">
        <f t="shared" si="36"/>
        <v>5348.7098165774851</v>
      </c>
      <c r="T188" s="295">
        <f>Q188*(1-R188)</f>
        <v>81622.18150988569</v>
      </c>
      <c r="U188" s="213"/>
      <c r="V188" s="388"/>
    </row>
    <row r="189" spans="1:22" s="118" customFormat="1" ht="12" customHeight="1" x14ac:dyDescent="0.2">
      <c r="A189" s="162"/>
      <c r="B189" s="44" t="s">
        <v>76</v>
      </c>
      <c r="C189" s="23"/>
      <c r="D189" s="43"/>
      <c r="E189" s="43">
        <f>E186</f>
        <v>43724</v>
      </c>
      <c r="F189" s="23"/>
      <c r="G189" s="23"/>
      <c r="H189" s="38" t="s">
        <v>122</v>
      </c>
      <c r="I189" s="38" t="s">
        <v>58</v>
      </c>
      <c r="J189" s="25" t="s">
        <v>52</v>
      </c>
      <c r="K189" s="42">
        <v>341</v>
      </c>
      <c r="L189" s="41" t="s">
        <v>62</v>
      </c>
      <c r="M189" s="40" t="s">
        <v>55</v>
      </c>
      <c r="N189" s="42" t="s">
        <v>53</v>
      </c>
      <c r="O189" s="58">
        <f>0.9%*T186</f>
        <v>35162.117550000003</v>
      </c>
      <c r="P189" s="39">
        <v>0.1115</v>
      </c>
      <c r="Q189" s="27">
        <f>O189/(1-P189)</f>
        <v>39574.696173325836</v>
      </c>
      <c r="R189" s="39">
        <v>6.1499999999999999E-2</v>
      </c>
      <c r="S189" s="331">
        <f t="shared" si="36"/>
        <v>2433.843814659539</v>
      </c>
      <c r="T189" s="294">
        <f>Q189*(1-R189)</f>
        <v>37140.8523586663</v>
      </c>
      <c r="U189" s="27"/>
      <c r="V189" s="388"/>
    </row>
    <row r="190" spans="1:22" s="118" customFormat="1" ht="12" customHeight="1" x14ac:dyDescent="0.2">
      <c r="A190" s="162"/>
      <c r="B190" s="191" t="s">
        <v>78</v>
      </c>
      <c r="C190" s="192"/>
      <c r="D190" s="193">
        <f>E186</f>
        <v>43724</v>
      </c>
      <c r="E190" s="193">
        <f>E186</f>
        <v>43724</v>
      </c>
      <c r="F190" s="203"/>
      <c r="G190" s="203"/>
      <c r="H190" s="192" t="s">
        <v>108</v>
      </c>
      <c r="I190" s="192" t="s">
        <v>118</v>
      </c>
      <c r="J190" s="192" t="s">
        <v>131</v>
      </c>
      <c r="K190" s="194"/>
      <c r="L190" s="194"/>
      <c r="M190" s="195"/>
      <c r="N190" s="194"/>
      <c r="O190" s="191"/>
      <c r="P190" s="196"/>
      <c r="Q190" s="191">
        <f>0.25%*T186</f>
        <v>9767.2548750000005</v>
      </c>
      <c r="R190" s="196">
        <v>6.1499999999999999E-2</v>
      </c>
      <c r="S190" s="333">
        <f>R190*Q190</f>
        <v>600.68617481249998</v>
      </c>
      <c r="T190" s="296">
        <f>Q190*(1-R190)</f>
        <v>9166.5687001875012</v>
      </c>
      <c r="U190" s="27"/>
      <c r="V190" s="388"/>
    </row>
    <row r="191" spans="1:22" s="118" customFormat="1" ht="12" customHeight="1" x14ac:dyDescent="0.2">
      <c r="A191" s="162"/>
      <c r="B191" s="254"/>
      <c r="C191" s="255"/>
      <c r="D191" s="410"/>
      <c r="E191" s="256"/>
      <c r="F191" s="255"/>
      <c r="G191" s="255"/>
      <c r="H191" s="256" t="s">
        <v>40</v>
      </c>
      <c r="I191" s="256" t="s">
        <v>26</v>
      </c>
      <c r="J191" s="256"/>
      <c r="K191" s="420"/>
      <c r="L191" s="420"/>
      <c r="M191" s="420"/>
      <c r="N191" s="420"/>
      <c r="O191" s="257"/>
      <c r="P191" s="258"/>
      <c r="Q191" s="257"/>
      <c r="R191" s="258"/>
      <c r="S191" s="349"/>
      <c r="T191" s="259">
        <f ca="1">SUM(T192:T193)</f>
        <v>9735.3752586381561</v>
      </c>
      <c r="U191" s="213"/>
      <c r="V191" s="388"/>
    </row>
    <row r="192" spans="1:22" s="118" customFormat="1" ht="12" customHeight="1" x14ac:dyDescent="0.2">
      <c r="A192" s="162"/>
      <c r="B192" s="237" t="s">
        <v>77</v>
      </c>
      <c r="C192" s="56"/>
      <c r="D192" s="122"/>
      <c r="E192" s="145">
        <f>E186</f>
        <v>43724</v>
      </c>
      <c r="F192" s="56"/>
      <c r="G192" s="56"/>
      <c r="H192" s="146" t="s">
        <v>120</v>
      </c>
      <c r="I192" s="147" t="s">
        <v>58</v>
      </c>
      <c r="J192" s="147" t="s">
        <v>131</v>
      </c>
      <c r="K192" s="418"/>
      <c r="L192" s="418"/>
      <c r="M192" s="418"/>
      <c r="N192" s="418"/>
      <c r="O192" s="148"/>
      <c r="P192" s="125"/>
      <c r="Q192" s="149"/>
      <c r="R192" s="125"/>
      <c r="S192" s="343"/>
      <c r="T192" s="409">
        <f ca="1">SUMIF($J$172:$J$177,J192,$S$187:$S$190)</f>
        <v>600.68617481249998</v>
      </c>
      <c r="U192" s="213"/>
      <c r="V192" s="388"/>
    </row>
    <row r="193" spans="1:22" s="118" customFormat="1" ht="12" customHeight="1" x14ac:dyDescent="0.2">
      <c r="A193" s="162"/>
      <c r="B193" s="370" t="s">
        <v>77</v>
      </c>
      <c r="C193" s="371"/>
      <c r="D193" s="386"/>
      <c r="E193" s="372">
        <f>E186</f>
        <v>43724</v>
      </c>
      <c r="F193" s="371"/>
      <c r="G193" s="371"/>
      <c r="H193" s="373" t="s">
        <v>59</v>
      </c>
      <c r="I193" s="374" t="s">
        <v>58</v>
      </c>
      <c r="J193" s="374" t="s">
        <v>52</v>
      </c>
      <c r="K193" s="419"/>
      <c r="L193" s="419"/>
      <c r="M193" s="419"/>
      <c r="N193" s="419"/>
      <c r="O193" s="277"/>
      <c r="P193" s="278"/>
      <c r="Q193" s="279"/>
      <c r="R193" s="278"/>
      <c r="S193" s="352"/>
      <c r="T193" s="375">
        <f ca="1">SUMIF($J$172:$J$177,J193,$S$187:$S$190)</f>
        <v>9134.6890838256568</v>
      </c>
      <c r="U193" s="126"/>
      <c r="V193" s="388"/>
    </row>
    <row r="194" spans="1:22" s="118" customFormat="1" ht="12" customHeight="1" x14ac:dyDescent="0.2">
      <c r="A194" s="162"/>
      <c r="B194" s="151" t="s">
        <v>79</v>
      </c>
      <c r="C194" s="59"/>
      <c r="D194" s="377"/>
      <c r="E194" s="152">
        <f>E186</f>
        <v>43724</v>
      </c>
      <c r="F194" s="59"/>
      <c r="G194" s="59"/>
      <c r="H194" s="121" t="s">
        <v>37</v>
      </c>
      <c r="I194" s="121" t="s">
        <v>26</v>
      </c>
      <c r="J194" s="56" t="s">
        <v>29</v>
      </c>
      <c r="K194" s="122">
        <v>341</v>
      </c>
      <c r="L194" s="176" t="s">
        <v>62</v>
      </c>
      <c r="M194" s="123" t="s">
        <v>172</v>
      </c>
      <c r="N194" s="123" t="s">
        <v>173</v>
      </c>
      <c r="O194" s="153"/>
      <c r="P194" s="125"/>
      <c r="Q194" s="57"/>
      <c r="R194" s="125"/>
      <c r="S194" s="345"/>
      <c r="T194" s="308">
        <v>297657.77</v>
      </c>
      <c r="U194" s="25"/>
      <c r="V194" s="388"/>
    </row>
    <row r="195" spans="1:22" s="118" customFormat="1" ht="12" customHeight="1" x14ac:dyDescent="0.2">
      <c r="A195" s="162"/>
      <c r="B195" s="202" t="s">
        <v>79</v>
      </c>
      <c r="C195" s="203"/>
      <c r="D195" s="378"/>
      <c r="E195" s="204">
        <f>E186</f>
        <v>43724</v>
      </c>
      <c r="F195" s="203"/>
      <c r="G195" s="203"/>
      <c r="H195" s="184" t="s">
        <v>159</v>
      </c>
      <c r="I195" s="184" t="s">
        <v>26</v>
      </c>
      <c r="J195" s="182" t="s">
        <v>29</v>
      </c>
      <c r="K195" s="185">
        <v>341</v>
      </c>
      <c r="L195" s="186" t="s">
        <v>62</v>
      </c>
      <c r="M195" s="187" t="s">
        <v>172</v>
      </c>
      <c r="N195" s="187" t="s">
        <v>173</v>
      </c>
      <c r="O195" s="205"/>
      <c r="P195" s="188"/>
      <c r="Q195" s="189"/>
      <c r="R195" s="188"/>
      <c r="S195" s="332"/>
      <c r="T195" s="295">
        <f ca="1">T186-SUM(T187:T191)-SUM(T194:T194)</f>
        <v>3450945.3953066966</v>
      </c>
      <c r="U195" s="181"/>
      <c r="V195" s="388"/>
    </row>
    <row r="196" spans="1:22" s="118" customFormat="1" ht="12" customHeight="1" x14ac:dyDescent="0.2">
      <c r="A196" s="162"/>
      <c r="B196" s="226" t="s">
        <v>116</v>
      </c>
      <c r="C196" s="218"/>
      <c r="D196" s="384"/>
      <c r="E196" s="219"/>
      <c r="F196" s="218"/>
      <c r="G196" s="218"/>
      <c r="H196" s="220"/>
      <c r="I196" s="220"/>
      <c r="J196" s="220"/>
      <c r="K196" s="221"/>
      <c r="L196" s="222"/>
      <c r="M196" s="223"/>
      <c r="N196" s="223"/>
      <c r="O196" s="224"/>
      <c r="P196" s="225"/>
      <c r="Q196" s="224"/>
      <c r="R196" s="225"/>
      <c r="S196" s="346"/>
      <c r="T196" s="309">
        <f ca="1">T186-SUM(T187:T191,T194:T195)</f>
        <v>0</v>
      </c>
      <c r="U196" s="387"/>
      <c r="V196" s="388"/>
    </row>
    <row r="197" spans="1:22" s="118" customFormat="1" ht="12" customHeight="1" x14ac:dyDescent="0.2">
      <c r="A197" s="162"/>
      <c r="B197" s="60" t="s">
        <v>101</v>
      </c>
      <c r="C197" s="61">
        <v>200</v>
      </c>
      <c r="D197" s="61"/>
      <c r="E197" s="62">
        <v>43731</v>
      </c>
      <c r="F197" s="63">
        <v>710.61595500999999</v>
      </c>
      <c r="G197" s="64">
        <v>2025</v>
      </c>
      <c r="H197" s="65" t="s">
        <v>101</v>
      </c>
      <c r="I197" s="65"/>
      <c r="J197" s="65"/>
      <c r="K197" s="66"/>
      <c r="L197" s="66"/>
      <c r="M197" s="67"/>
      <c r="N197" s="66"/>
      <c r="O197" s="60"/>
      <c r="P197" s="68"/>
      <c r="Q197" s="69"/>
      <c r="R197" s="68"/>
      <c r="S197" s="347"/>
      <c r="T197" s="292">
        <f>TRUNC(F197*G197,2)</f>
        <v>1438997.3</v>
      </c>
      <c r="U197" s="412"/>
      <c r="V197" s="388"/>
    </row>
    <row r="198" spans="1:22" s="118" customFormat="1" ht="12" customHeight="1" x14ac:dyDescent="0.2">
      <c r="A198" s="162"/>
      <c r="B198" s="60" t="s">
        <v>101</v>
      </c>
      <c r="C198" s="61">
        <v>201</v>
      </c>
      <c r="D198" s="61"/>
      <c r="E198" s="62">
        <f>E197</f>
        <v>43731</v>
      </c>
      <c r="F198" s="63">
        <v>1000</v>
      </c>
      <c r="G198" s="64">
        <v>7000</v>
      </c>
      <c r="H198" s="65" t="s">
        <v>101</v>
      </c>
      <c r="I198" s="65"/>
      <c r="J198" s="65"/>
      <c r="K198" s="66"/>
      <c r="L198" s="66"/>
      <c r="M198" s="67"/>
      <c r="N198" s="66"/>
      <c r="O198" s="60"/>
      <c r="P198" s="68"/>
      <c r="Q198" s="69"/>
      <c r="R198" s="68"/>
      <c r="S198" s="347"/>
      <c r="T198" s="292">
        <f>TRUNC(F198*G198,2)</f>
        <v>7000000</v>
      </c>
      <c r="U198" s="412"/>
      <c r="V198" s="388"/>
    </row>
    <row r="199" spans="1:22" s="118" customFormat="1" ht="12" customHeight="1" x14ac:dyDescent="0.2">
      <c r="A199" s="162"/>
      <c r="B199" s="60" t="s">
        <v>101</v>
      </c>
      <c r="C199" s="61">
        <v>203</v>
      </c>
      <c r="D199" s="61"/>
      <c r="E199" s="62">
        <f>E198</f>
        <v>43731</v>
      </c>
      <c r="F199" s="63">
        <v>949.01915183000006</v>
      </c>
      <c r="G199" s="64">
        <v>2375</v>
      </c>
      <c r="H199" s="65" t="s">
        <v>101</v>
      </c>
      <c r="I199" s="65"/>
      <c r="J199" s="65"/>
      <c r="K199" s="66"/>
      <c r="L199" s="66"/>
      <c r="M199" s="67"/>
      <c r="N199" s="66"/>
      <c r="O199" s="60"/>
      <c r="P199" s="68"/>
      <c r="Q199" s="69"/>
      <c r="R199" s="68"/>
      <c r="S199" s="347"/>
      <c r="T199" s="292">
        <f>TRUNC(F199*G199,2)</f>
        <v>2253920.48</v>
      </c>
      <c r="U199" s="412"/>
      <c r="V199" s="388"/>
    </row>
    <row r="200" spans="1:22" s="118" customFormat="1" ht="12" customHeight="1" x14ac:dyDescent="0.2">
      <c r="A200" s="162"/>
      <c r="B200" s="133" t="s">
        <v>101</v>
      </c>
      <c r="C200" s="134" t="s">
        <v>116</v>
      </c>
      <c r="D200" s="134"/>
      <c r="E200" s="62">
        <f>E197</f>
        <v>43731</v>
      </c>
      <c r="F200" s="137"/>
      <c r="G200" s="138"/>
      <c r="H200" s="139" t="s">
        <v>117</v>
      </c>
      <c r="I200" s="139"/>
      <c r="J200" s="139"/>
      <c r="K200" s="140"/>
      <c r="L200" s="140"/>
      <c r="M200" s="141"/>
      <c r="N200" s="140"/>
      <c r="O200" s="133"/>
      <c r="P200" s="142"/>
      <c r="Q200" s="143"/>
      <c r="R200" s="142"/>
      <c r="S200" s="348"/>
      <c r="T200" s="293">
        <f>T197+T198+T199</f>
        <v>10692917.780000001</v>
      </c>
      <c r="U200" s="412"/>
      <c r="V200" s="388"/>
    </row>
    <row r="201" spans="1:22" s="118" customFormat="1" ht="12" customHeight="1" x14ac:dyDescent="0.2">
      <c r="A201" s="162"/>
      <c r="B201" s="44" t="s">
        <v>76</v>
      </c>
      <c r="C201" s="23"/>
      <c r="D201" s="43"/>
      <c r="E201" s="43">
        <f>E200</f>
        <v>43731</v>
      </c>
      <c r="F201" s="23"/>
      <c r="G201" s="23"/>
      <c r="H201" s="38" t="s">
        <v>8</v>
      </c>
      <c r="I201" s="38" t="s">
        <v>58</v>
      </c>
      <c r="J201" s="25" t="s">
        <v>52</v>
      </c>
      <c r="K201" s="42">
        <v>341</v>
      </c>
      <c r="L201" s="41" t="s">
        <v>62</v>
      </c>
      <c r="M201" s="40" t="s">
        <v>55</v>
      </c>
      <c r="N201" s="42" t="s">
        <v>53</v>
      </c>
      <c r="O201" s="44">
        <f>T200*0.5%</f>
        <v>53464.58890000001</v>
      </c>
      <c r="P201" s="39">
        <v>0.1115</v>
      </c>
      <c r="Q201" s="27">
        <f>O201/(1-P201)</f>
        <v>60173.988632526743</v>
      </c>
      <c r="R201" s="39">
        <v>6.1499999999999999E-2</v>
      </c>
      <c r="S201" s="331">
        <f t="shared" ref="S201:S203" si="37">R201*Q201</f>
        <v>3700.7003009003947</v>
      </c>
      <c r="T201" s="294">
        <f>Q201*(1-R201)</f>
        <v>56473.288331626347</v>
      </c>
      <c r="U201" s="412"/>
      <c r="V201" s="388"/>
    </row>
    <row r="202" spans="1:22" s="118" customFormat="1" ht="12" customHeight="1" x14ac:dyDescent="0.2">
      <c r="A202" s="162"/>
      <c r="B202" s="202" t="s">
        <v>76</v>
      </c>
      <c r="C202" s="203"/>
      <c r="D202" s="204"/>
      <c r="E202" s="204">
        <f>E200</f>
        <v>43731</v>
      </c>
      <c r="F202" s="203"/>
      <c r="G202" s="203"/>
      <c r="H202" s="184" t="s">
        <v>60</v>
      </c>
      <c r="I202" s="184" t="s">
        <v>58</v>
      </c>
      <c r="J202" s="182" t="s">
        <v>52</v>
      </c>
      <c r="K202" s="185">
        <v>341</v>
      </c>
      <c r="L202" s="186" t="s">
        <v>62</v>
      </c>
      <c r="M202" s="187" t="s">
        <v>55</v>
      </c>
      <c r="N202" s="185" t="s">
        <v>53</v>
      </c>
      <c r="O202" s="181">
        <f>(T200*2.2%)</f>
        <v>235244.19116000005</v>
      </c>
      <c r="P202" s="188">
        <v>0.1115</v>
      </c>
      <c r="Q202" s="189">
        <f>O202/(1-P202)-SUM(Q204:Q204)</f>
        <v>238033.25553311766</v>
      </c>
      <c r="R202" s="188">
        <v>6.1499999999999999E-2</v>
      </c>
      <c r="S202" s="332">
        <f t="shared" si="37"/>
        <v>14639.045215286736</v>
      </c>
      <c r="T202" s="295">
        <f>Q202*(1-R202)</f>
        <v>223394.21031783093</v>
      </c>
      <c r="U202" s="412"/>
      <c r="V202" s="388"/>
    </row>
    <row r="203" spans="1:22" s="118" customFormat="1" ht="12" customHeight="1" x14ac:dyDescent="0.2">
      <c r="A203" s="162"/>
      <c r="B203" s="44" t="s">
        <v>76</v>
      </c>
      <c r="C203" s="23"/>
      <c r="D203" s="43"/>
      <c r="E203" s="43">
        <f>E200</f>
        <v>43731</v>
      </c>
      <c r="F203" s="23"/>
      <c r="G203" s="23"/>
      <c r="H203" s="38" t="s">
        <v>122</v>
      </c>
      <c r="I203" s="38" t="s">
        <v>58</v>
      </c>
      <c r="J203" s="25" t="s">
        <v>52</v>
      </c>
      <c r="K203" s="42">
        <v>341</v>
      </c>
      <c r="L203" s="41" t="s">
        <v>62</v>
      </c>
      <c r="M203" s="40" t="s">
        <v>55</v>
      </c>
      <c r="N203" s="42" t="s">
        <v>53</v>
      </c>
      <c r="O203" s="58">
        <f>0.9%*T200</f>
        <v>96236.260020000016</v>
      </c>
      <c r="P203" s="39">
        <v>0.1115</v>
      </c>
      <c r="Q203" s="27">
        <f>O203/(1-P203)</f>
        <v>108313.17953854814</v>
      </c>
      <c r="R203" s="39">
        <v>6.1499999999999999E-2</v>
      </c>
      <c r="S203" s="331">
        <f t="shared" si="37"/>
        <v>6661.2605416207107</v>
      </c>
      <c r="T203" s="294">
        <f>Q203*(1-R203)</f>
        <v>101651.91899692743</v>
      </c>
      <c r="U203" s="412"/>
      <c r="V203" s="388"/>
    </row>
    <row r="204" spans="1:22" s="118" customFormat="1" ht="12" customHeight="1" x14ac:dyDescent="0.2">
      <c r="A204" s="162"/>
      <c r="B204" s="191" t="s">
        <v>78</v>
      </c>
      <c r="C204" s="192"/>
      <c r="D204" s="193">
        <f>E200</f>
        <v>43731</v>
      </c>
      <c r="E204" s="193">
        <f>E200</f>
        <v>43731</v>
      </c>
      <c r="F204" s="203"/>
      <c r="G204" s="203"/>
      <c r="H204" s="192" t="s">
        <v>108</v>
      </c>
      <c r="I204" s="192" t="s">
        <v>118</v>
      </c>
      <c r="J204" s="192" t="s">
        <v>131</v>
      </c>
      <c r="K204" s="194"/>
      <c r="L204" s="194"/>
      <c r="M204" s="195"/>
      <c r="N204" s="194"/>
      <c r="O204" s="191"/>
      <c r="P204" s="196"/>
      <c r="Q204" s="191">
        <f>0.25%*T200</f>
        <v>26732.294450000005</v>
      </c>
      <c r="R204" s="196">
        <v>6.1499999999999999E-2</v>
      </c>
      <c r="S204" s="333">
        <f>R204*Q204</f>
        <v>1644.0361086750004</v>
      </c>
      <c r="T204" s="296">
        <f>Q204*(1-R204)</f>
        <v>25088.258341325003</v>
      </c>
      <c r="U204" s="412"/>
      <c r="V204" s="388"/>
    </row>
    <row r="205" spans="1:22" s="118" customFormat="1" ht="12" customHeight="1" x14ac:dyDescent="0.2">
      <c r="A205" s="162"/>
      <c r="B205" s="254"/>
      <c r="C205" s="255"/>
      <c r="D205" s="411"/>
      <c r="E205" s="256"/>
      <c r="F205" s="255"/>
      <c r="G205" s="255"/>
      <c r="H205" s="256" t="s">
        <v>40</v>
      </c>
      <c r="I205" s="256" t="s">
        <v>26</v>
      </c>
      <c r="J205" s="256"/>
      <c r="K205" s="420"/>
      <c r="L205" s="420"/>
      <c r="M205" s="420"/>
      <c r="N205" s="420"/>
      <c r="O205" s="257"/>
      <c r="P205" s="258"/>
      <c r="Q205" s="257"/>
      <c r="R205" s="258"/>
      <c r="S205" s="349"/>
      <c r="T205" s="259">
        <f ca="1">SUM(T206:T207)</f>
        <v>26645.042166482846</v>
      </c>
      <c r="U205" s="412"/>
      <c r="V205" s="388"/>
    </row>
    <row r="206" spans="1:22" s="118" customFormat="1" ht="12" customHeight="1" x14ac:dyDescent="0.2">
      <c r="A206" s="162"/>
      <c r="B206" s="237" t="s">
        <v>77</v>
      </c>
      <c r="C206" s="56"/>
      <c r="D206" s="122"/>
      <c r="E206" s="145">
        <f>E200</f>
        <v>43731</v>
      </c>
      <c r="F206" s="56"/>
      <c r="G206" s="56"/>
      <c r="H206" s="146" t="s">
        <v>120</v>
      </c>
      <c r="I206" s="147" t="s">
        <v>58</v>
      </c>
      <c r="J206" s="147" t="s">
        <v>131</v>
      </c>
      <c r="K206" s="418"/>
      <c r="L206" s="418"/>
      <c r="M206" s="418"/>
      <c r="N206" s="418"/>
      <c r="O206" s="148"/>
      <c r="P206" s="125"/>
      <c r="Q206" s="149"/>
      <c r="R206" s="125"/>
      <c r="S206" s="343"/>
      <c r="T206" s="409">
        <f ca="1">SUMIF($J$172:$J$177,J206,$S$201:$S$204)</f>
        <v>1644.0361086750004</v>
      </c>
      <c r="U206" s="412"/>
      <c r="V206" s="388"/>
    </row>
    <row r="207" spans="1:22" s="118" customFormat="1" ht="12" customHeight="1" x14ac:dyDescent="0.2">
      <c r="A207" s="162"/>
      <c r="B207" s="370" t="s">
        <v>77</v>
      </c>
      <c r="C207" s="371"/>
      <c r="D207" s="386"/>
      <c r="E207" s="372">
        <f>E200</f>
        <v>43731</v>
      </c>
      <c r="F207" s="371"/>
      <c r="G207" s="371"/>
      <c r="H207" s="373" t="s">
        <v>59</v>
      </c>
      <c r="I207" s="374" t="s">
        <v>58</v>
      </c>
      <c r="J207" s="374" t="s">
        <v>52</v>
      </c>
      <c r="K207" s="419"/>
      <c r="L207" s="419"/>
      <c r="M207" s="419"/>
      <c r="N207" s="419"/>
      <c r="O207" s="277"/>
      <c r="P207" s="278"/>
      <c r="Q207" s="279"/>
      <c r="R207" s="278"/>
      <c r="S207" s="352"/>
      <c r="T207" s="375">
        <f ca="1">SUMIF($J$172:$J$177,J207,$S$201:$S$204)</f>
        <v>25001.006057807845</v>
      </c>
      <c r="U207" s="412"/>
      <c r="V207" s="388"/>
    </row>
    <row r="208" spans="1:22" s="118" customFormat="1" ht="12" customHeight="1" x14ac:dyDescent="0.2">
      <c r="A208" s="162"/>
      <c r="B208" s="151" t="s">
        <v>79</v>
      </c>
      <c r="C208" s="59"/>
      <c r="D208" s="377"/>
      <c r="E208" s="152">
        <f>E200</f>
        <v>43731</v>
      </c>
      <c r="F208" s="59"/>
      <c r="G208" s="59"/>
      <c r="H208" s="121" t="s">
        <v>37</v>
      </c>
      <c r="I208" s="121" t="s">
        <v>26</v>
      </c>
      <c r="J208" s="56" t="s">
        <v>29</v>
      </c>
      <c r="K208" s="122">
        <v>341</v>
      </c>
      <c r="L208" s="176" t="s">
        <v>62</v>
      </c>
      <c r="M208" s="123" t="s">
        <v>172</v>
      </c>
      <c r="N208" s="123" t="s">
        <v>173</v>
      </c>
      <c r="O208" s="153"/>
      <c r="P208" s="125"/>
      <c r="Q208" s="57"/>
      <c r="R208" s="125"/>
      <c r="S208" s="345"/>
      <c r="T208" s="308">
        <v>814863.32</v>
      </c>
      <c r="U208" s="412"/>
      <c r="V208" s="388"/>
    </row>
    <row r="209" spans="1:22" s="118" customFormat="1" ht="12" customHeight="1" x14ac:dyDescent="0.2">
      <c r="A209" s="162"/>
      <c r="B209" s="202" t="s">
        <v>79</v>
      </c>
      <c r="C209" s="203"/>
      <c r="D209" s="378"/>
      <c r="E209" s="204">
        <f>E200</f>
        <v>43731</v>
      </c>
      <c r="F209" s="203"/>
      <c r="G209" s="203"/>
      <c r="H209" s="184" t="s">
        <v>159</v>
      </c>
      <c r="I209" s="184" t="s">
        <v>26</v>
      </c>
      <c r="J209" s="182" t="s">
        <v>29</v>
      </c>
      <c r="K209" s="185">
        <v>341</v>
      </c>
      <c r="L209" s="186" t="s">
        <v>62</v>
      </c>
      <c r="M209" s="187" t="s">
        <v>172</v>
      </c>
      <c r="N209" s="187" t="s">
        <v>173</v>
      </c>
      <c r="O209" s="205"/>
      <c r="P209" s="188"/>
      <c r="Q209" s="189"/>
      <c r="R209" s="188"/>
      <c r="S209" s="332"/>
      <c r="T209" s="295">
        <f ca="1">T200-SUM(T201:T205)-SUM(T208:T208)</f>
        <v>9444801.7418458089</v>
      </c>
      <c r="U209" s="412"/>
      <c r="V209" s="388"/>
    </row>
    <row r="210" spans="1:22" s="118" customFormat="1" ht="12" customHeight="1" x14ac:dyDescent="0.2">
      <c r="A210" s="162"/>
      <c r="B210" s="226" t="s">
        <v>116</v>
      </c>
      <c r="C210" s="218"/>
      <c r="D210" s="384"/>
      <c r="E210" s="219"/>
      <c r="F210" s="218"/>
      <c r="G210" s="218"/>
      <c r="H210" s="220"/>
      <c r="I210" s="220"/>
      <c r="J210" s="220"/>
      <c r="K210" s="221"/>
      <c r="L210" s="222"/>
      <c r="M210" s="223"/>
      <c r="N210" s="223"/>
      <c r="O210" s="224"/>
      <c r="P210" s="225"/>
      <c r="Q210" s="224"/>
      <c r="R210" s="225"/>
      <c r="S210" s="346"/>
      <c r="T210" s="309">
        <f ca="1">T200-SUM(T201:T205,T208:T209)</f>
        <v>0</v>
      </c>
      <c r="U210" s="412"/>
      <c r="V210" s="388"/>
    </row>
    <row r="211" spans="1:22" s="118" customFormat="1" ht="12" customHeight="1" x14ac:dyDescent="0.2">
      <c r="A211" s="162"/>
      <c r="B211" s="60" t="s">
        <v>101</v>
      </c>
      <c r="C211" s="61">
        <v>202</v>
      </c>
      <c r="D211" s="61"/>
      <c r="E211" s="62">
        <v>43826</v>
      </c>
      <c r="F211" s="63">
        <v>1000</v>
      </c>
      <c r="G211" s="64">
        <v>6500</v>
      </c>
      <c r="H211" s="65" t="s">
        <v>101</v>
      </c>
      <c r="I211" s="65"/>
      <c r="J211" s="65"/>
      <c r="K211" s="66"/>
      <c r="L211" s="66"/>
      <c r="M211" s="67"/>
      <c r="N211" s="66"/>
      <c r="O211" s="60"/>
      <c r="P211" s="68"/>
      <c r="Q211" s="69"/>
      <c r="R211" s="68"/>
      <c r="S211" s="347"/>
      <c r="T211" s="292">
        <f>TRUNC(F211*G211,2)</f>
        <v>6500000</v>
      </c>
      <c r="U211" s="412"/>
      <c r="V211" s="388"/>
    </row>
    <row r="212" spans="1:22" s="118" customFormat="1" ht="12" customHeight="1" x14ac:dyDescent="0.2">
      <c r="A212" s="162"/>
      <c r="B212" s="133" t="s">
        <v>101</v>
      </c>
      <c r="C212" s="134" t="s">
        <v>116</v>
      </c>
      <c r="D212" s="134"/>
      <c r="E212" s="62">
        <f>E211</f>
        <v>43826</v>
      </c>
      <c r="F212" s="137"/>
      <c r="G212" s="138"/>
      <c r="H212" s="139" t="s">
        <v>117</v>
      </c>
      <c r="I212" s="139"/>
      <c r="J212" s="139"/>
      <c r="K212" s="140"/>
      <c r="L212" s="140"/>
      <c r="M212" s="141"/>
      <c r="N212" s="140"/>
      <c r="O212" s="133"/>
      <c r="P212" s="142"/>
      <c r="Q212" s="143"/>
      <c r="R212" s="142"/>
      <c r="S212" s="348"/>
      <c r="T212" s="293">
        <f>T211</f>
        <v>6500000</v>
      </c>
      <c r="U212" s="412"/>
      <c r="V212" s="388"/>
    </row>
    <row r="213" spans="1:22" s="118" customFormat="1" ht="12" customHeight="1" x14ac:dyDescent="0.2">
      <c r="A213" s="162"/>
      <c r="B213" s="44" t="s">
        <v>76</v>
      </c>
      <c r="C213" s="23"/>
      <c r="D213" s="43"/>
      <c r="E213" s="43">
        <f>E212</f>
        <v>43826</v>
      </c>
      <c r="F213" s="23"/>
      <c r="G213" s="23"/>
      <c r="H213" s="38" t="s">
        <v>8</v>
      </c>
      <c r="I213" s="38" t="s">
        <v>58</v>
      </c>
      <c r="J213" s="25" t="s">
        <v>52</v>
      </c>
      <c r="K213" s="42">
        <v>341</v>
      </c>
      <c r="L213" s="41" t="s">
        <v>62</v>
      </c>
      <c r="M213" s="40" t="s">
        <v>55</v>
      </c>
      <c r="N213" s="42" t="s">
        <v>53</v>
      </c>
      <c r="O213" s="44">
        <f>T212*0.5%</f>
        <v>32500</v>
      </c>
      <c r="P213" s="39">
        <v>0.1115</v>
      </c>
      <c r="Q213" s="27">
        <f>O213/(1-P213)</f>
        <v>36578.503095104112</v>
      </c>
      <c r="R213" s="39">
        <v>6.1499999999999999E-2</v>
      </c>
      <c r="S213" s="331">
        <f t="shared" ref="S213:S215" si="38">R213*Q213</f>
        <v>2249.5779403489028</v>
      </c>
      <c r="T213" s="294">
        <f>Q213*(1-R213)</f>
        <v>34328.925154755212</v>
      </c>
      <c r="U213" s="412"/>
      <c r="V213" s="388"/>
    </row>
    <row r="214" spans="1:22" s="118" customFormat="1" ht="12" customHeight="1" x14ac:dyDescent="0.2">
      <c r="A214" s="162"/>
      <c r="B214" s="202" t="s">
        <v>76</v>
      </c>
      <c r="C214" s="203"/>
      <c r="D214" s="204"/>
      <c r="E214" s="204">
        <f>E212</f>
        <v>43826</v>
      </c>
      <c r="F214" s="203"/>
      <c r="G214" s="203"/>
      <c r="H214" s="184" t="s">
        <v>60</v>
      </c>
      <c r="I214" s="184" t="s">
        <v>58</v>
      </c>
      <c r="J214" s="182" t="s">
        <v>52</v>
      </c>
      <c r="K214" s="185">
        <v>341</v>
      </c>
      <c r="L214" s="186" t="s">
        <v>62</v>
      </c>
      <c r="M214" s="187" t="s">
        <v>55</v>
      </c>
      <c r="N214" s="185" t="s">
        <v>53</v>
      </c>
      <c r="O214" s="181">
        <f>(T212*2.2%)</f>
        <v>143000</v>
      </c>
      <c r="P214" s="188">
        <v>0.1115</v>
      </c>
      <c r="Q214" s="189">
        <f>O214/(1-P214)-SUM(Q216:Q216)</f>
        <v>144695.41361845809</v>
      </c>
      <c r="R214" s="188">
        <v>6.1499999999999999E-2</v>
      </c>
      <c r="S214" s="332">
        <f t="shared" si="38"/>
        <v>8898.7679375351727</v>
      </c>
      <c r="T214" s="295">
        <f>Q214*(1-R214)</f>
        <v>135796.64568092293</v>
      </c>
      <c r="U214" s="412"/>
      <c r="V214" s="388"/>
    </row>
    <row r="215" spans="1:22" s="118" customFormat="1" ht="12" customHeight="1" x14ac:dyDescent="0.2">
      <c r="A215" s="162"/>
      <c r="B215" s="44" t="s">
        <v>76</v>
      </c>
      <c r="C215" s="23"/>
      <c r="D215" s="43"/>
      <c r="E215" s="43">
        <f>E212</f>
        <v>43826</v>
      </c>
      <c r="F215" s="23"/>
      <c r="G215" s="23"/>
      <c r="H215" s="38" t="s">
        <v>122</v>
      </c>
      <c r="I215" s="38" t="s">
        <v>58</v>
      </c>
      <c r="J215" s="25" t="s">
        <v>52</v>
      </c>
      <c r="K215" s="42">
        <v>341</v>
      </c>
      <c r="L215" s="41" t="s">
        <v>62</v>
      </c>
      <c r="M215" s="40" t="s">
        <v>55</v>
      </c>
      <c r="N215" s="42" t="s">
        <v>53</v>
      </c>
      <c r="O215" s="58">
        <f>0.9%*T212</f>
        <v>58500.000000000007</v>
      </c>
      <c r="P215" s="39">
        <v>0.1115</v>
      </c>
      <c r="Q215" s="27">
        <f>O215/(1-P215)</f>
        <v>65841.305571187404</v>
      </c>
      <c r="R215" s="39">
        <v>6.1499999999999999E-2</v>
      </c>
      <c r="S215" s="331">
        <f t="shared" si="38"/>
        <v>4049.2402926280251</v>
      </c>
      <c r="T215" s="294">
        <f>Q215*(1-R215)</f>
        <v>61792.065278559377</v>
      </c>
      <c r="U215" s="412"/>
      <c r="V215" s="388"/>
    </row>
    <row r="216" spans="1:22" s="118" customFormat="1" ht="12" customHeight="1" x14ac:dyDescent="0.2">
      <c r="A216" s="162"/>
      <c r="B216" s="191" t="s">
        <v>78</v>
      </c>
      <c r="C216" s="192"/>
      <c r="D216" s="193">
        <f>E212</f>
        <v>43826</v>
      </c>
      <c r="E216" s="193">
        <f>E212</f>
        <v>43826</v>
      </c>
      <c r="F216" s="203"/>
      <c r="G216" s="203"/>
      <c r="H216" s="192" t="s">
        <v>108</v>
      </c>
      <c r="I216" s="192" t="s">
        <v>118</v>
      </c>
      <c r="J216" s="192" t="s">
        <v>131</v>
      </c>
      <c r="K216" s="194"/>
      <c r="L216" s="194"/>
      <c r="M216" s="195"/>
      <c r="N216" s="194"/>
      <c r="O216" s="191"/>
      <c r="P216" s="196"/>
      <c r="Q216" s="191">
        <f>0.25%*T212</f>
        <v>16250</v>
      </c>
      <c r="R216" s="196">
        <v>6.1499999999999999E-2</v>
      </c>
      <c r="S216" s="333">
        <f>R216*Q216</f>
        <v>999.375</v>
      </c>
      <c r="T216" s="296">
        <f>Q216*(1-R216)</f>
        <v>15250.625</v>
      </c>
      <c r="U216" s="412"/>
      <c r="V216" s="388"/>
    </row>
    <row r="217" spans="1:22" s="118" customFormat="1" ht="12" customHeight="1" x14ac:dyDescent="0.2">
      <c r="A217" s="162"/>
      <c r="B217" s="254"/>
      <c r="C217" s="255"/>
      <c r="D217" s="413"/>
      <c r="E217" s="256"/>
      <c r="F217" s="255"/>
      <c r="G217" s="255"/>
      <c r="H217" s="256" t="s">
        <v>40</v>
      </c>
      <c r="I217" s="256" t="s">
        <v>26</v>
      </c>
      <c r="J217" s="256"/>
      <c r="K217" s="420"/>
      <c r="L217" s="420"/>
      <c r="M217" s="420"/>
      <c r="N217" s="420"/>
      <c r="O217" s="257"/>
      <c r="P217" s="258"/>
      <c r="Q217" s="257"/>
      <c r="R217" s="258"/>
      <c r="S217" s="349"/>
      <c r="T217" s="259">
        <f>SUM(T218:T219)</f>
        <v>16196.961170512101</v>
      </c>
      <c r="U217" s="412"/>
      <c r="V217" s="388"/>
    </row>
    <row r="218" spans="1:22" s="118" customFormat="1" ht="12" customHeight="1" x14ac:dyDescent="0.2">
      <c r="A218" s="162"/>
      <c r="B218" s="237" t="s">
        <v>77</v>
      </c>
      <c r="C218" s="56"/>
      <c r="D218" s="122"/>
      <c r="E218" s="145">
        <f>E212</f>
        <v>43826</v>
      </c>
      <c r="F218" s="56"/>
      <c r="G218" s="56"/>
      <c r="H218" s="146" t="s">
        <v>120</v>
      </c>
      <c r="I218" s="147" t="s">
        <v>58</v>
      </c>
      <c r="J218" s="147" t="s">
        <v>131</v>
      </c>
      <c r="K218" s="418"/>
      <c r="L218" s="418"/>
      <c r="M218" s="418"/>
      <c r="N218" s="418"/>
      <c r="O218" s="148"/>
      <c r="P218" s="125"/>
      <c r="Q218" s="149"/>
      <c r="R218" s="125"/>
      <c r="S218" s="343"/>
      <c r="T218" s="409">
        <f>SUMIF($J$213:$J$216,J218,$S$213:$S$216)</f>
        <v>999.375</v>
      </c>
      <c r="U218" s="412"/>
      <c r="V218" s="388"/>
    </row>
    <row r="219" spans="1:22" s="118" customFormat="1" ht="12" customHeight="1" x14ac:dyDescent="0.2">
      <c r="A219" s="162"/>
      <c r="B219" s="370" t="s">
        <v>77</v>
      </c>
      <c r="C219" s="371"/>
      <c r="D219" s="386"/>
      <c r="E219" s="372">
        <f>E212</f>
        <v>43826</v>
      </c>
      <c r="F219" s="371"/>
      <c r="G219" s="371"/>
      <c r="H219" s="373" t="s">
        <v>59</v>
      </c>
      <c r="I219" s="374" t="s">
        <v>58</v>
      </c>
      <c r="J219" s="374" t="s">
        <v>52</v>
      </c>
      <c r="K219" s="419"/>
      <c r="L219" s="419"/>
      <c r="M219" s="419"/>
      <c r="N219" s="419"/>
      <c r="O219" s="277"/>
      <c r="P219" s="278"/>
      <c r="Q219" s="279"/>
      <c r="R219" s="278"/>
      <c r="S219" s="352"/>
      <c r="T219" s="375">
        <f>SUMIF($J$213:$J$216,J219,$S$213:$S$216)</f>
        <v>15197.586170512101</v>
      </c>
      <c r="U219" s="412"/>
      <c r="V219" s="388"/>
    </row>
    <row r="220" spans="1:22" s="118" customFormat="1" ht="12" customHeight="1" x14ac:dyDescent="0.2">
      <c r="A220" s="162"/>
      <c r="B220" s="151" t="s">
        <v>79</v>
      </c>
      <c r="C220" s="59"/>
      <c r="D220" s="377"/>
      <c r="E220" s="152">
        <f>E212</f>
        <v>43826</v>
      </c>
      <c r="F220" s="59"/>
      <c r="G220" s="59"/>
      <c r="H220" s="121" t="s">
        <v>37</v>
      </c>
      <c r="I220" s="121" t="s">
        <v>26</v>
      </c>
      <c r="J220" s="56" t="s">
        <v>29</v>
      </c>
      <c r="K220" s="122">
        <v>341</v>
      </c>
      <c r="L220" s="176" t="s">
        <v>62</v>
      </c>
      <c r="M220" s="123" t="s">
        <v>172</v>
      </c>
      <c r="N220" s="123" t="s">
        <v>173</v>
      </c>
      <c r="O220" s="153"/>
      <c r="P220" s="125"/>
      <c r="Q220" s="57"/>
      <c r="R220" s="125"/>
      <c r="S220" s="345"/>
      <c r="T220" s="308">
        <v>721986.38</v>
      </c>
      <c r="U220" s="412"/>
      <c r="V220" s="388"/>
    </row>
    <row r="221" spans="1:22" s="118" customFormat="1" ht="12" customHeight="1" x14ac:dyDescent="0.2">
      <c r="A221" s="162"/>
      <c r="B221" s="202" t="s">
        <v>79</v>
      </c>
      <c r="C221" s="203"/>
      <c r="D221" s="378"/>
      <c r="E221" s="204">
        <f>E212</f>
        <v>43826</v>
      </c>
      <c r="F221" s="203"/>
      <c r="G221" s="203"/>
      <c r="H221" s="184" t="s">
        <v>159</v>
      </c>
      <c r="I221" s="184" t="s">
        <v>26</v>
      </c>
      <c r="J221" s="182" t="s">
        <v>29</v>
      </c>
      <c r="K221" s="185">
        <v>341</v>
      </c>
      <c r="L221" s="186" t="s">
        <v>62</v>
      </c>
      <c r="M221" s="187" t="s">
        <v>172</v>
      </c>
      <c r="N221" s="187" t="s">
        <v>173</v>
      </c>
      <c r="O221" s="205"/>
      <c r="P221" s="188"/>
      <c r="Q221" s="189"/>
      <c r="R221" s="188"/>
      <c r="S221" s="332"/>
      <c r="T221" s="295">
        <f>T212-SUM(T213:T217)-SUM(T220:T220)</f>
        <v>5514648.397715251</v>
      </c>
      <c r="U221" s="412"/>
      <c r="V221" s="388"/>
    </row>
    <row r="222" spans="1:22" s="118" customFormat="1" ht="12" customHeight="1" x14ac:dyDescent="0.2">
      <c r="A222" s="162"/>
      <c r="B222" s="226" t="s">
        <v>116</v>
      </c>
      <c r="C222" s="218"/>
      <c r="D222" s="384"/>
      <c r="E222" s="219"/>
      <c r="F222" s="218"/>
      <c r="G222" s="218"/>
      <c r="H222" s="220"/>
      <c r="I222" s="220"/>
      <c r="J222" s="220"/>
      <c r="K222" s="221"/>
      <c r="L222" s="222"/>
      <c r="M222" s="223"/>
      <c r="N222" s="223"/>
      <c r="O222" s="224"/>
      <c r="P222" s="225"/>
      <c r="Q222" s="224"/>
      <c r="R222" s="225"/>
      <c r="S222" s="346"/>
      <c r="T222" s="309">
        <f>T212-SUM(T213:T217,T220:T221)</f>
        <v>0</v>
      </c>
      <c r="U222" s="412"/>
      <c r="V222" s="388"/>
    </row>
    <row r="223" spans="1:22" s="118" customFormat="1" ht="12" customHeight="1" x14ac:dyDescent="0.2">
      <c r="A223" s="162"/>
      <c r="B223" s="60" t="s">
        <v>101</v>
      </c>
      <c r="C223" s="61">
        <v>202</v>
      </c>
      <c r="D223" s="61"/>
      <c r="E223" s="62">
        <v>43829</v>
      </c>
      <c r="F223" s="63">
        <v>1000.79292516</v>
      </c>
      <c r="G223" s="64">
        <v>500</v>
      </c>
      <c r="H223" s="65" t="s">
        <v>101</v>
      </c>
      <c r="I223" s="65"/>
      <c r="J223" s="65"/>
      <c r="K223" s="66"/>
      <c r="L223" s="66"/>
      <c r="M223" s="67"/>
      <c r="N223" s="66"/>
      <c r="O223" s="60"/>
      <c r="P223" s="68"/>
      <c r="Q223" s="69"/>
      <c r="R223" s="68"/>
      <c r="S223" s="347"/>
      <c r="T223" s="292">
        <f>TRUNC(F223*G223,2)</f>
        <v>500396.46</v>
      </c>
      <c r="U223" s="412"/>
      <c r="V223" s="388"/>
    </row>
    <row r="224" spans="1:22" s="118" customFormat="1" ht="12" customHeight="1" x14ac:dyDescent="0.2">
      <c r="A224" s="162"/>
      <c r="B224" s="133" t="s">
        <v>101</v>
      </c>
      <c r="C224" s="134" t="s">
        <v>116</v>
      </c>
      <c r="D224" s="134"/>
      <c r="E224" s="62">
        <f>E223</f>
        <v>43829</v>
      </c>
      <c r="F224" s="137"/>
      <c r="G224" s="138"/>
      <c r="H224" s="139" t="s">
        <v>117</v>
      </c>
      <c r="I224" s="139"/>
      <c r="J224" s="139"/>
      <c r="K224" s="140"/>
      <c r="L224" s="140"/>
      <c r="M224" s="141"/>
      <c r="N224" s="140"/>
      <c r="O224" s="133"/>
      <c r="P224" s="142"/>
      <c r="Q224" s="143"/>
      <c r="R224" s="142"/>
      <c r="S224" s="348"/>
      <c r="T224" s="293">
        <f>T223</f>
        <v>500396.46</v>
      </c>
      <c r="U224" s="412"/>
      <c r="V224" s="388"/>
    </row>
    <row r="225" spans="1:22" s="118" customFormat="1" ht="12" customHeight="1" x14ac:dyDescent="0.2">
      <c r="A225" s="162"/>
      <c r="B225" s="44" t="s">
        <v>76</v>
      </c>
      <c r="C225" s="23"/>
      <c r="D225" s="43"/>
      <c r="E225" s="43">
        <f>E224</f>
        <v>43829</v>
      </c>
      <c r="F225" s="23"/>
      <c r="G225" s="23"/>
      <c r="H225" s="38" t="s">
        <v>8</v>
      </c>
      <c r="I225" s="38" t="s">
        <v>58</v>
      </c>
      <c r="J225" s="25" t="s">
        <v>52</v>
      </c>
      <c r="K225" s="42">
        <v>341</v>
      </c>
      <c r="L225" s="41" t="s">
        <v>62</v>
      </c>
      <c r="M225" s="40" t="s">
        <v>55</v>
      </c>
      <c r="N225" s="42" t="s">
        <v>53</v>
      </c>
      <c r="O225" s="44">
        <f>T224*0.5%</f>
        <v>2501.9823000000001</v>
      </c>
      <c r="P225" s="39">
        <v>0.1115</v>
      </c>
      <c r="Q225" s="27">
        <f>O225/(1-P225)</f>
        <v>2815.9620709060218</v>
      </c>
      <c r="R225" s="39">
        <v>6.1499999999999999E-2</v>
      </c>
      <c r="S225" s="331">
        <f t="shared" ref="S225:S227" si="39">R225*Q225</f>
        <v>173.18166736072035</v>
      </c>
      <c r="T225" s="294">
        <f>Q225*(1-R225)</f>
        <v>2642.7804035453014</v>
      </c>
      <c r="U225" s="412"/>
      <c r="V225" s="388"/>
    </row>
    <row r="226" spans="1:22" s="118" customFormat="1" ht="12" customHeight="1" x14ac:dyDescent="0.2">
      <c r="A226" s="162"/>
      <c r="B226" s="202" t="s">
        <v>76</v>
      </c>
      <c r="C226" s="203"/>
      <c r="D226" s="204"/>
      <c r="E226" s="204">
        <f>E224</f>
        <v>43829</v>
      </c>
      <c r="F226" s="203"/>
      <c r="G226" s="203"/>
      <c r="H226" s="184" t="s">
        <v>60</v>
      </c>
      <c r="I226" s="184" t="s">
        <v>58</v>
      </c>
      <c r="J226" s="182" t="s">
        <v>52</v>
      </c>
      <c r="K226" s="185">
        <v>341</v>
      </c>
      <c r="L226" s="186" t="s">
        <v>62</v>
      </c>
      <c r="M226" s="187" t="s">
        <v>55</v>
      </c>
      <c r="N226" s="185" t="s">
        <v>53</v>
      </c>
      <c r="O226" s="181">
        <f>(T224*2.2%)</f>
        <v>11008.722120000002</v>
      </c>
      <c r="P226" s="188">
        <v>0.1115</v>
      </c>
      <c r="Q226" s="189">
        <f>O226/(1-P226)-SUM(Q228:Q228)</f>
        <v>11139.241961986498</v>
      </c>
      <c r="R226" s="188">
        <v>6.1499999999999999E-2</v>
      </c>
      <c r="S226" s="332">
        <f t="shared" si="39"/>
        <v>685.06338066216961</v>
      </c>
      <c r="T226" s="295">
        <f>Q226*(1-R226)</f>
        <v>10454.178581324328</v>
      </c>
      <c r="U226" s="412"/>
      <c r="V226" s="388"/>
    </row>
    <row r="227" spans="1:22" s="118" customFormat="1" ht="12" customHeight="1" x14ac:dyDescent="0.2">
      <c r="A227" s="162"/>
      <c r="B227" s="44" t="s">
        <v>76</v>
      </c>
      <c r="C227" s="23"/>
      <c r="D227" s="43"/>
      <c r="E227" s="43">
        <f>E224</f>
        <v>43829</v>
      </c>
      <c r="F227" s="23"/>
      <c r="G227" s="23"/>
      <c r="H227" s="38" t="s">
        <v>122</v>
      </c>
      <c r="I227" s="38" t="s">
        <v>58</v>
      </c>
      <c r="J227" s="25" t="s">
        <v>52</v>
      </c>
      <c r="K227" s="42">
        <v>341</v>
      </c>
      <c r="L227" s="41" t="s">
        <v>62</v>
      </c>
      <c r="M227" s="40" t="s">
        <v>55</v>
      </c>
      <c r="N227" s="42" t="s">
        <v>53</v>
      </c>
      <c r="O227" s="58">
        <f>0.9%*T224</f>
        <v>4503.5681400000003</v>
      </c>
      <c r="P227" s="39">
        <v>0.1115</v>
      </c>
      <c r="Q227" s="27">
        <f>O227/(1-P227)</f>
        <v>5068.7317276308395</v>
      </c>
      <c r="R227" s="39">
        <v>6.1499999999999999E-2</v>
      </c>
      <c r="S227" s="331">
        <f t="shared" si="39"/>
        <v>311.72700124929662</v>
      </c>
      <c r="T227" s="294">
        <f>Q227*(1-R227)</f>
        <v>4757.0047263815432</v>
      </c>
      <c r="U227" s="412"/>
      <c r="V227" s="388"/>
    </row>
    <row r="228" spans="1:22" s="118" customFormat="1" ht="12" customHeight="1" x14ac:dyDescent="0.2">
      <c r="A228" s="162"/>
      <c r="B228" s="191" t="s">
        <v>78</v>
      </c>
      <c r="C228" s="192"/>
      <c r="D228" s="193">
        <f>E224</f>
        <v>43829</v>
      </c>
      <c r="E228" s="193">
        <f>E224</f>
        <v>43829</v>
      </c>
      <c r="F228" s="203"/>
      <c r="G228" s="203"/>
      <c r="H228" s="192" t="s">
        <v>108</v>
      </c>
      <c r="I228" s="192" t="s">
        <v>118</v>
      </c>
      <c r="J228" s="192" t="s">
        <v>131</v>
      </c>
      <c r="K228" s="194"/>
      <c r="L228" s="194"/>
      <c r="M228" s="195"/>
      <c r="N228" s="194"/>
      <c r="O228" s="191"/>
      <c r="P228" s="196"/>
      <c r="Q228" s="191">
        <f>0.25%*T224</f>
        <v>1250.9911500000001</v>
      </c>
      <c r="R228" s="196">
        <v>6.1499999999999999E-2</v>
      </c>
      <c r="S228" s="333">
        <f>R228*Q228</f>
        <v>76.935955724999999</v>
      </c>
      <c r="T228" s="296">
        <f>Q228*(1-R228)</f>
        <v>1174.0551942750001</v>
      </c>
      <c r="U228" s="412"/>
      <c r="V228" s="388"/>
    </row>
    <row r="229" spans="1:22" s="118" customFormat="1" ht="12" customHeight="1" x14ac:dyDescent="0.2">
      <c r="A229" s="162"/>
      <c r="B229" s="254"/>
      <c r="C229" s="255"/>
      <c r="D229" s="414"/>
      <c r="E229" s="256"/>
      <c r="F229" s="255"/>
      <c r="G229" s="255"/>
      <c r="H229" s="256" t="s">
        <v>40</v>
      </c>
      <c r="I229" s="256" t="s">
        <v>26</v>
      </c>
      <c r="J229" s="256"/>
      <c r="K229" s="420"/>
      <c r="L229" s="420"/>
      <c r="M229" s="420"/>
      <c r="N229" s="420"/>
      <c r="O229" s="257"/>
      <c r="P229" s="258"/>
      <c r="Q229" s="257"/>
      <c r="R229" s="258"/>
      <c r="S229" s="349"/>
      <c r="T229" s="259">
        <f>SUM(T230:T231)</f>
        <v>1246.9080049971865</v>
      </c>
      <c r="U229" s="412"/>
      <c r="V229" s="388"/>
    </row>
    <row r="230" spans="1:22" s="118" customFormat="1" ht="12" customHeight="1" x14ac:dyDescent="0.2">
      <c r="A230" s="162"/>
      <c r="B230" s="237" t="s">
        <v>77</v>
      </c>
      <c r="C230" s="56"/>
      <c r="D230" s="122"/>
      <c r="E230" s="145">
        <f>E224</f>
        <v>43829</v>
      </c>
      <c r="F230" s="56"/>
      <c r="G230" s="56"/>
      <c r="H230" s="146" t="s">
        <v>120</v>
      </c>
      <c r="I230" s="147" t="s">
        <v>58</v>
      </c>
      <c r="J230" s="147" t="s">
        <v>131</v>
      </c>
      <c r="K230" s="418"/>
      <c r="L230" s="418"/>
      <c r="M230" s="418"/>
      <c r="N230" s="418"/>
      <c r="O230" s="148"/>
      <c r="P230" s="125"/>
      <c r="Q230" s="149"/>
      <c r="R230" s="125"/>
      <c r="S230" s="343"/>
      <c r="T230" s="409">
        <f>SUMIF($J$225:$J$228,J230,$S$225:$S$228)</f>
        <v>76.935955724999999</v>
      </c>
      <c r="U230" s="412"/>
      <c r="V230" s="388"/>
    </row>
    <row r="231" spans="1:22" s="118" customFormat="1" ht="12" customHeight="1" x14ac:dyDescent="0.2">
      <c r="A231" s="162"/>
      <c r="B231" s="370" t="s">
        <v>77</v>
      </c>
      <c r="C231" s="371"/>
      <c r="D231" s="386"/>
      <c r="E231" s="372">
        <f>E224</f>
        <v>43829</v>
      </c>
      <c r="F231" s="371"/>
      <c r="G231" s="371"/>
      <c r="H231" s="373" t="s">
        <v>59</v>
      </c>
      <c r="I231" s="374" t="s">
        <v>58</v>
      </c>
      <c r="J231" s="374" t="s">
        <v>52</v>
      </c>
      <c r="K231" s="419"/>
      <c r="L231" s="419"/>
      <c r="M231" s="419"/>
      <c r="N231" s="419"/>
      <c r="O231" s="277"/>
      <c r="P231" s="278"/>
      <c r="Q231" s="279"/>
      <c r="R231" s="278"/>
      <c r="S231" s="352"/>
      <c r="T231" s="375">
        <f>SUMIF($J$225:$J$228,J231,$S$225:$S$228)</f>
        <v>1169.9720492721865</v>
      </c>
      <c r="U231" s="412"/>
      <c r="V231" s="388"/>
    </row>
    <row r="232" spans="1:22" s="118" customFormat="1" ht="12" customHeight="1" x14ac:dyDescent="0.2">
      <c r="A232" s="162"/>
      <c r="B232" s="151" t="s">
        <v>79</v>
      </c>
      <c r="C232" s="59"/>
      <c r="D232" s="377"/>
      <c r="E232" s="152">
        <f>E224</f>
        <v>43829</v>
      </c>
      <c r="F232" s="59"/>
      <c r="G232" s="59"/>
      <c r="H232" s="121" t="s">
        <v>37</v>
      </c>
      <c r="I232" s="121" t="s">
        <v>26</v>
      </c>
      <c r="J232" s="56" t="s">
        <v>29</v>
      </c>
      <c r="K232" s="122">
        <v>341</v>
      </c>
      <c r="L232" s="176" t="s">
        <v>62</v>
      </c>
      <c r="M232" s="123" t="s">
        <v>172</v>
      </c>
      <c r="N232" s="123" t="s">
        <v>173</v>
      </c>
      <c r="O232" s="153"/>
      <c r="P232" s="125"/>
      <c r="Q232" s="57"/>
      <c r="R232" s="125"/>
      <c r="S232" s="345"/>
      <c r="T232" s="308">
        <v>55537.41</v>
      </c>
      <c r="U232" s="412"/>
      <c r="V232" s="388"/>
    </row>
    <row r="233" spans="1:22" s="118" customFormat="1" ht="12" customHeight="1" x14ac:dyDescent="0.2">
      <c r="A233" s="162"/>
      <c r="B233" s="202" t="s">
        <v>79</v>
      </c>
      <c r="C233" s="203"/>
      <c r="D233" s="378"/>
      <c r="E233" s="204">
        <f>E224</f>
        <v>43829</v>
      </c>
      <c r="F233" s="203"/>
      <c r="G233" s="203"/>
      <c r="H233" s="184" t="s">
        <v>159</v>
      </c>
      <c r="I233" s="184" t="s">
        <v>26</v>
      </c>
      <c r="J233" s="182" t="s">
        <v>29</v>
      </c>
      <c r="K233" s="185">
        <v>341</v>
      </c>
      <c r="L233" s="186" t="s">
        <v>62</v>
      </c>
      <c r="M233" s="187" t="s">
        <v>172</v>
      </c>
      <c r="N233" s="187" t="s">
        <v>173</v>
      </c>
      <c r="O233" s="205"/>
      <c r="P233" s="188"/>
      <c r="Q233" s="189"/>
      <c r="R233" s="188"/>
      <c r="S233" s="332"/>
      <c r="T233" s="295">
        <f>T224-SUM(T225:T229)-SUM(T232:T232)</f>
        <v>424584.1230894766</v>
      </c>
      <c r="U233" s="412"/>
      <c r="V233" s="388"/>
    </row>
    <row r="234" spans="1:22" s="118" customFormat="1" ht="12" customHeight="1" x14ac:dyDescent="0.2">
      <c r="A234" s="162"/>
      <c r="B234" s="226" t="s">
        <v>116</v>
      </c>
      <c r="C234" s="218"/>
      <c r="D234" s="384"/>
      <c r="E234" s="219"/>
      <c r="F234" s="218"/>
      <c r="G234" s="218"/>
      <c r="H234" s="220"/>
      <c r="I234" s="220"/>
      <c r="J234" s="220"/>
      <c r="K234" s="221"/>
      <c r="L234" s="222"/>
      <c r="M234" s="223"/>
      <c r="N234" s="223"/>
      <c r="O234" s="224"/>
      <c r="P234" s="225"/>
      <c r="Q234" s="224"/>
      <c r="R234" s="225"/>
      <c r="S234" s="346"/>
      <c r="T234" s="309">
        <f>T224-SUM(T225:T229,T232:T233)</f>
        <v>0</v>
      </c>
      <c r="U234" s="412"/>
      <c r="V234" s="388"/>
    </row>
    <row r="235" spans="1:22" s="118" customFormat="1" ht="12" customHeight="1" x14ac:dyDescent="0.2">
      <c r="A235" s="162"/>
      <c r="B235" s="60" t="s">
        <v>101</v>
      </c>
      <c r="C235" s="61">
        <v>204</v>
      </c>
      <c r="D235" s="61"/>
      <c r="E235" s="62">
        <v>43873</v>
      </c>
      <c r="F235" s="63">
        <v>1000</v>
      </c>
      <c r="G235" s="64">
        <v>2375</v>
      </c>
      <c r="H235" s="65" t="s">
        <v>101</v>
      </c>
      <c r="I235" s="65"/>
      <c r="J235" s="65"/>
      <c r="K235" s="66"/>
      <c r="L235" s="66"/>
      <c r="M235" s="67"/>
      <c r="N235" s="66"/>
      <c r="O235" s="60"/>
      <c r="P235" s="68"/>
      <c r="Q235" s="69"/>
      <c r="R235" s="68"/>
      <c r="S235" s="347"/>
      <c r="T235" s="292">
        <f>TRUNC(F235*G235,2)</f>
        <v>2375000</v>
      </c>
      <c r="U235" s="412"/>
      <c r="V235" s="388"/>
    </row>
    <row r="236" spans="1:22" s="118" customFormat="1" ht="12" customHeight="1" x14ac:dyDescent="0.2">
      <c r="A236" s="162"/>
      <c r="B236" s="133" t="s">
        <v>101</v>
      </c>
      <c r="C236" s="134" t="s">
        <v>116</v>
      </c>
      <c r="D236" s="134"/>
      <c r="E236" s="62">
        <f>E235</f>
        <v>43873</v>
      </c>
      <c r="F236" s="137"/>
      <c r="G236" s="138"/>
      <c r="H236" s="139" t="s">
        <v>117</v>
      </c>
      <c r="I236" s="139"/>
      <c r="J236" s="139"/>
      <c r="K236" s="140"/>
      <c r="L236" s="140"/>
      <c r="M236" s="141"/>
      <c r="N236" s="140"/>
      <c r="O236" s="133"/>
      <c r="P236" s="142"/>
      <c r="Q236" s="143"/>
      <c r="R236" s="142"/>
      <c r="S236" s="348"/>
      <c r="T236" s="293">
        <f>T235</f>
        <v>2375000</v>
      </c>
      <c r="U236" s="412"/>
      <c r="V236" s="388"/>
    </row>
    <row r="237" spans="1:22" s="118" customFormat="1" ht="12" customHeight="1" x14ac:dyDescent="0.2">
      <c r="A237" s="162"/>
      <c r="B237" s="44" t="s">
        <v>76</v>
      </c>
      <c r="C237" s="23"/>
      <c r="D237" s="43"/>
      <c r="E237" s="43">
        <f>E236</f>
        <v>43873</v>
      </c>
      <c r="F237" s="23"/>
      <c r="G237" s="23"/>
      <c r="H237" s="38" t="s">
        <v>8</v>
      </c>
      <c r="I237" s="38" t="s">
        <v>58</v>
      </c>
      <c r="J237" s="25" t="s">
        <v>52</v>
      </c>
      <c r="K237" s="42">
        <v>341</v>
      </c>
      <c r="L237" s="41" t="s">
        <v>62</v>
      </c>
      <c r="M237" s="40" t="s">
        <v>55</v>
      </c>
      <c r="N237" s="42" t="s">
        <v>53</v>
      </c>
      <c r="O237" s="44">
        <f>T236*0.5%</f>
        <v>11875</v>
      </c>
      <c r="P237" s="39">
        <v>0.1115</v>
      </c>
      <c r="Q237" s="27">
        <f>O237/(1-P237)</f>
        <v>13365.222284749578</v>
      </c>
      <c r="R237" s="39">
        <v>6.1499999999999999E-2</v>
      </c>
      <c r="S237" s="331">
        <f>R237*Q237</f>
        <v>821.96117051209899</v>
      </c>
      <c r="T237" s="294">
        <f>Q237*(1-R237)</f>
        <v>12543.261114237479</v>
      </c>
      <c r="U237" s="412"/>
      <c r="V237" s="388"/>
    </row>
    <row r="238" spans="1:22" s="118" customFormat="1" ht="12" customHeight="1" x14ac:dyDescent="0.2">
      <c r="A238" s="162"/>
      <c r="B238" s="202" t="s">
        <v>76</v>
      </c>
      <c r="C238" s="203"/>
      <c r="D238" s="204"/>
      <c r="E238" s="204">
        <f>E236</f>
        <v>43873</v>
      </c>
      <c r="F238" s="203"/>
      <c r="G238" s="203"/>
      <c r="H238" s="184" t="s">
        <v>60</v>
      </c>
      <c r="I238" s="184" t="s">
        <v>58</v>
      </c>
      <c r="J238" s="182" t="s">
        <v>52</v>
      </c>
      <c r="K238" s="185">
        <v>341</v>
      </c>
      <c r="L238" s="186" t="s">
        <v>62</v>
      </c>
      <c r="M238" s="187" t="s">
        <v>55</v>
      </c>
      <c r="N238" s="185" t="s">
        <v>53</v>
      </c>
      <c r="O238" s="181">
        <f>(T236*2.2%)</f>
        <v>52250.000000000007</v>
      </c>
      <c r="P238" s="188">
        <v>0.1115</v>
      </c>
      <c r="Q238" s="189">
        <f>O238/(1-P238)-SUM(Q240:Q240)</f>
        <v>52869.478052898157</v>
      </c>
      <c r="R238" s="188">
        <v>6.1499999999999999E-2</v>
      </c>
      <c r="S238" s="332">
        <f>R238*Q238</f>
        <v>3251.4729002532367</v>
      </c>
      <c r="T238" s="295">
        <f>Q238*(1-R238)</f>
        <v>49618.005152644924</v>
      </c>
      <c r="U238" s="412"/>
      <c r="V238" s="388"/>
    </row>
    <row r="239" spans="1:22" s="118" customFormat="1" ht="12" customHeight="1" x14ac:dyDescent="0.2">
      <c r="A239" s="162"/>
      <c r="B239" s="44" t="s">
        <v>76</v>
      </c>
      <c r="C239" s="23"/>
      <c r="D239" s="43"/>
      <c r="E239" s="43">
        <f>E236</f>
        <v>43873</v>
      </c>
      <c r="F239" s="23"/>
      <c r="G239" s="23"/>
      <c r="H239" s="38" t="s">
        <v>122</v>
      </c>
      <c r="I239" s="38" t="s">
        <v>58</v>
      </c>
      <c r="J239" s="25" t="s">
        <v>52</v>
      </c>
      <c r="K239" s="42">
        <v>341</v>
      </c>
      <c r="L239" s="41" t="s">
        <v>62</v>
      </c>
      <c r="M239" s="40" t="s">
        <v>55</v>
      </c>
      <c r="N239" s="42" t="s">
        <v>53</v>
      </c>
      <c r="O239" s="58">
        <f>0.9%*T236</f>
        <v>21375.000000000004</v>
      </c>
      <c r="P239" s="39">
        <v>0.1115</v>
      </c>
      <c r="Q239" s="27">
        <f>O239/(1-P239)</f>
        <v>24057.400112549247</v>
      </c>
      <c r="R239" s="39">
        <v>6.1499999999999999E-2</v>
      </c>
      <c r="S239" s="331">
        <f>R239*Q239</f>
        <v>1479.5301069217787</v>
      </c>
      <c r="T239" s="294">
        <f>Q239*(1-R239)</f>
        <v>22577.870005627468</v>
      </c>
      <c r="U239" s="412"/>
      <c r="V239" s="388"/>
    </row>
    <row r="240" spans="1:22" s="118" customFormat="1" ht="12" customHeight="1" x14ac:dyDescent="0.2">
      <c r="A240" s="162"/>
      <c r="B240" s="191" t="s">
        <v>78</v>
      </c>
      <c r="C240" s="192"/>
      <c r="D240" s="193">
        <f>E236</f>
        <v>43873</v>
      </c>
      <c r="E240" s="193">
        <f>E236</f>
        <v>43873</v>
      </c>
      <c r="F240" s="203"/>
      <c r="G240" s="203"/>
      <c r="H240" s="192" t="s">
        <v>108</v>
      </c>
      <c r="I240" s="192" t="s">
        <v>118</v>
      </c>
      <c r="J240" s="192" t="s">
        <v>131</v>
      </c>
      <c r="K240" s="194"/>
      <c r="L240" s="194"/>
      <c r="M240" s="195"/>
      <c r="N240" s="194"/>
      <c r="O240" s="191"/>
      <c r="P240" s="196"/>
      <c r="Q240" s="191">
        <f>0.25%*T236</f>
        <v>5937.5</v>
      </c>
      <c r="R240" s="196">
        <v>6.1499999999999999E-2</v>
      </c>
      <c r="S240" s="333">
        <f>R240*Q240</f>
        <v>365.15625</v>
      </c>
      <c r="T240" s="296">
        <f>Q240*(1-R240)</f>
        <v>5572.34375</v>
      </c>
      <c r="U240" s="412"/>
      <c r="V240" s="388"/>
    </row>
    <row r="241" spans="1:22" s="118" customFormat="1" ht="12" customHeight="1" x14ac:dyDescent="0.2">
      <c r="A241" s="162"/>
      <c r="B241" s="254"/>
      <c r="C241" s="255"/>
      <c r="D241" s="415"/>
      <c r="E241" s="256"/>
      <c r="F241" s="255"/>
      <c r="G241" s="255"/>
      <c r="H241" s="256" t="s">
        <v>40</v>
      </c>
      <c r="I241" s="256" t="s">
        <v>26</v>
      </c>
      <c r="J241" s="256"/>
      <c r="K241" s="420"/>
      <c r="L241" s="420"/>
      <c r="M241" s="420"/>
      <c r="N241" s="420"/>
      <c r="O241" s="257"/>
      <c r="P241" s="258"/>
      <c r="Q241" s="257"/>
      <c r="R241" s="258"/>
      <c r="S241" s="349"/>
      <c r="T241" s="259">
        <f>SUM(T242:T243)</f>
        <v>5918.120427687114</v>
      </c>
      <c r="U241" s="412"/>
      <c r="V241" s="388"/>
    </row>
    <row r="242" spans="1:22" s="118" customFormat="1" ht="12" customHeight="1" x14ac:dyDescent="0.2">
      <c r="A242" s="162"/>
      <c r="B242" s="237" t="s">
        <v>77</v>
      </c>
      <c r="C242" s="56"/>
      <c r="D242" s="122"/>
      <c r="E242" s="145">
        <f>E236</f>
        <v>43873</v>
      </c>
      <c r="F242" s="56"/>
      <c r="G242" s="56"/>
      <c r="H242" s="146" t="s">
        <v>120</v>
      </c>
      <c r="I242" s="147" t="s">
        <v>58</v>
      </c>
      <c r="J242" s="147" t="s">
        <v>131</v>
      </c>
      <c r="K242" s="418"/>
      <c r="L242" s="418"/>
      <c r="M242" s="418"/>
      <c r="N242" s="418"/>
      <c r="O242" s="148"/>
      <c r="P242" s="125"/>
      <c r="Q242" s="149"/>
      <c r="R242" s="125"/>
      <c r="S242" s="343"/>
      <c r="T242" s="409">
        <f>SUMIF($J$237:$J$240,J242,$S$237:$S$240)</f>
        <v>365.15625</v>
      </c>
      <c r="U242" s="412"/>
      <c r="V242" s="388"/>
    </row>
    <row r="243" spans="1:22" s="118" customFormat="1" ht="12" customHeight="1" x14ac:dyDescent="0.2">
      <c r="A243" s="162"/>
      <c r="B243" s="370" t="s">
        <v>77</v>
      </c>
      <c r="C243" s="371"/>
      <c r="D243" s="386"/>
      <c r="E243" s="372">
        <f>E236</f>
        <v>43873</v>
      </c>
      <c r="F243" s="371"/>
      <c r="G243" s="371"/>
      <c r="H243" s="373" t="s">
        <v>59</v>
      </c>
      <c r="I243" s="374" t="s">
        <v>58</v>
      </c>
      <c r="J243" s="374" t="s">
        <v>52</v>
      </c>
      <c r="K243" s="419"/>
      <c r="L243" s="419"/>
      <c r="M243" s="419"/>
      <c r="N243" s="419"/>
      <c r="O243" s="277"/>
      <c r="P243" s="278"/>
      <c r="Q243" s="279"/>
      <c r="R243" s="278"/>
      <c r="S243" s="352"/>
      <c r="T243" s="375">
        <f>SUMIF($J$237:$J$240,J243,$S$237:$S$240)</f>
        <v>5552.964177687114</v>
      </c>
      <c r="U243" s="412"/>
      <c r="V243" s="388"/>
    </row>
    <row r="244" spans="1:22" s="118" customFormat="1" ht="12" customHeight="1" x14ac:dyDescent="0.2">
      <c r="A244" s="162"/>
      <c r="B244" s="151" t="s">
        <v>79</v>
      </c>
      <c r="C244" s="59"/>
      <c r="D244" s="377"/>
      <c r="E244" s="152">
        <f>E236</f>
        <v>43873</v>
      </c>
      <c r="F244" s="59"/>
      <c r="G244" s="59"/>
      <c r="H244" s="121" t="s">
        <v>37</v>
      </c>
      <c r="I244" s="121" t="s">
        <v>26</v>
      </c>
      <c r="J244" s="56" t="s">
        <v>29</v>
      </c>
      <c r="K244" s="122">
        <v>341</v>
      </c>
      <c r="L244" s="176" t="s">
        <v>62</v>
      </c>
      <c r="M244" s="123" t="s">
        <v>172</v>
      </c>
      <c r="N244" s="123" t="s">
        <v>173</v>
      </c>
      <c r="O244" s="153"/>
      <c r="P244" s="125"/>
      <c r="Q244" s="57"/>
      <c r="R244" s="125"/>
      <c r="S244" s="345"/>
      <c r="T244" s="308">
        <v>285526.88</v>
      </c>
      <c r="U244" s="412"/>
      <c r="V244" s="388"/>
    </row>
    <row r="245" spans="1:22" s="118" customFormat="1" ht="12" customHeight="1" x14ac:dyDescent="0.2">
      <c r="A245" s="162"/>
      <c r="B245" s="202" t="s">
        <v>79</v>
      </c>
      <c r="C245" s="203"/>
      <c r="D245" s="378"/>
      <c r="E245" s="204">
        <f>E236</f>
        <v>43873</v>
      </c>
      <c r="F245" s="203"/>
      <c r="G245" s="203"/>
      <c r="H245" s="184" t="s">
        <v>159</v>
      </c>
      <c r="I245" s="184" t="s">
        <v>26</v>
      </c>
      <c r="J245" s="182" t="s">
        <v>29</v>
      </c>
      <c r="K245" s="185">
        <v>341</v>
      </c>
      <c r="L245" s="186" t="s">
        <v>62</v>
      </c>
      <c r="M245" s="187" t="s">
        <v>172</v>
      </c>
      <c r="N245" s="187" t="s">
        <v>173</v>
      </c>
      <c r="O245" s="205"/>
      <c r="P245" s="188"/>
      <c r="Q245" s="189"/>
      <c r="R245" s="188"/>
      <c r="S245" s="332"/>
      <c r="T245" s="295">
        <f>T236-SUM(T237:T241)-SUM(T244:T244)</f>
        <v>1993243.5195498033</v>
      </c>
      <c r="U245" s="412"/>
      <c r="V245" s="388"/>
    </row>
    <row r="246" spans="1:22" s="118" customFormat="1" ht="12" customHeight="1" x14ac:dyDescent="0.2">
      <c r="A246" s="162"/>
      <c r="B246" s="226" t="s">
        <v>116</v>
      </c>
      <c r="C246" s="218"/>
      <c r="D246" s="384"/>
      <c r="E246" s="219"/>
      <c r="F246" s="218"/>
      <c r="G246" s="218"/>
      <c r="H246" s="220"/>
      <c r="I246" s="220"/>
      <c r="J246" s="220"/>
      <c r="K246" s="221"/>
      <c r="L246" s="222"/>
      <c r="M246" s="223"/>
      <c r="N246" s="223"/>
      <c r="O246" s="224"/>
      <c r="P246" s="225"/>
      <c r="Q246" s="224"/>
      <c r="R246" s="225"/>
      <c r="S246" s="346"/>
      <c r="T246" s="309">
        <f>T236-SUM(T237:T241,T244:T245)</f>
        <v>0</v>
      </c>
      <c r="U246" s="412"/>
      <c r="V246" s="388"/>
    </row>
    <row r="247" spans="1:22" s="118" customFormat="1" ht="12" customHeight="1" x14ac:dyDescent="0.2">
      <c r="A247" s="162"/>
      <c r="B247" s="60" t="s">
        <v>101</v>
      </c>
      <c r="C247" s="61">
        <v>204</v>
      </c>
      <c r="D247" s="61"/>
      <c r="E247" s="62">
        <v>43906</v>
      </c>
      <c r="F247" s="63">
        <v>1001.60495551</v>
      </c>
      <c r="G247" s="64">
        <v>2375</v>
      </c>
      <c r="H247" s="65" t="s">
        <v>101</v>
      </c>
      <c r="I247" s="65"/>
      <c r="J247" s="65"/>
      <c r="K247" s="66"/>
      <c r="L247" s="66"/>
      <c r="M247" s="67"/>
      <c r="N247" s="66"/>
      <c r="O247" s="60"/>
      <c r="P247" s="68"/>
      <c r="Q247" s="69"/>
      <c r="R247" s="68"/>
      <c r="S247" s="347"/>
      <c r="T247" s="292">
        <f>TRUNC(F247*G247,2)</f>
        <v>2378811.7599999998</v>
      </c>
      <c r="U247" s="412"/>
      <c r="V247" s="388"/>
    </row>
    <row r="248" spans="1:22" s="118" customFormat="1" ht="12" customHeight="1" x14ac:dyDescent="0.2">
      <c r="A248" s="162"/>
      <c r="B248" s="133" t="s">
        <v>101</v>
      </c>
      <c r="C248" s="134" t="s">
        <v>116</v>
      </c>
      <c r="D248" s="134"/>
      <c r="E248" s="62">
        <f>E247</f>
        <v>43906</v>
      </c>
      <c r="F248" s="137"/>
      <c r="G248" s="138"/>
      <c r="H248" s="139" t="s">
        <v>117</v>
      </c>
      <c r="I248" s="139"/>
      <c r="J248" s="139"/>
      <c r="K248" s="140"/>
      <c r="L248" s="140"/>
      <c r="M248" s="141"/>
      <c r="N248" s="140"/>
      <c r="O248" s="133"/>
      <c r="P248" s="142"/>
      <c r="Q248" s="143"/>
      <c r="R248" s="142"/>
      <c r="S248" s="348"/>
      <c r="T248" s="293">
        <f>T247</f>
        <v>2378811.7599999998</v>
      </c>
      <c r="U248" s="412"/>
      <c r="V248" s="388"/>
    </row>
    <row r="249" spans="1:22" s="118" customFormat="1" ht="12" customHeight="1" x14ac:dyDescent="0.2">
      <c r="A249" s="162"/>
      <c r="B249" s="44" t="s">
        <v>76</v>
      </c>
      <c r="C249" s="23"/>
      <c r="D249" s="43"/>
      <c r="E249" s="43">
        <f>E248</f>
        <v>43906</v>
      </c>
      <c r="F249" s="23"/>
      <c r="G249" s="23"/>
      <c r="H249" s="38" t="s">
        <v>8</v>
      </c>
      <c r="I249" s="38" t="s">
        <v>58</v>
      </c>
      <c r="J249" s="25" t="s">
        <v>52</v>
      </c>
      <c r="K249" s="42">
        <v>341</v>
      </c>
      <c r="L249" s="41" t="s">
        <v>62</v>
      </c>
      <c r="M249" s="40" t="s">
        <v>55</v>
      </c>
      <c r="N249" s="42" t="s">
        <v>53</v>
      </c>
      <c r="O249" s="44">
        <f>T248*0.5%</f>
        <v>11894.058799999999</v>
      </c>
      <c r="P249" s="39">
        <v>0.1115</v>
      </c>
      <c r="Q249" s="27">
        <f>O249/(1-P249)</f>
        <v>13386.672819358469</v>
      </c>
      <c r="R249" s="39">
        <v>6.1499999999999999E-2</v>
      </c>
      <c r="S249" s="331">
        <f>R249*Q249</f>
        <v>823.28037839054582</v>
      </c>
      <c r="T249" s="294">
        <f>Q249*(1-R249)</f>
        <v>12563.392440967924</v>
      </c>
      <c r="U249" s="412"/>
      <c r="V249" s="388"/>
    </row>
    <row r="250" spans="1:22" s="118" customFormat="1" ht="12" customHeight="1" x14ac:dyDescent="0.2">
      <c r="A250" s="162"/>
      <c r="B250" s="202" t="s">
        <v>76</v>
      </c>
      <c r="C250" s="203"/>
      <c r="D250" s="204"/>
      <c r="E250" s="204">
        <f>E248</f>
        <v>43906</v>
      </c>
      <c r="F250" s="203"/>
      <c r="G250" s="203"/>
      <c r="H250" s="184" t="s">
        <v>60</v>
      </c>
      <c r="I250" s="184" t="s">
        <v>58</v>
      </c>
      <c r="J250" s="182" t="s">
        <v>52</v>
      </c>
      <c r="K250" s="185">
        <v>341</v>
      </c>
      <c r="L250" s="186" t="s">
        <v>62</v>
      </c>
      <c r="M250" s="187" t="s">
        <v>55</v>
      </c>
      <c r="N250" s="185" t="s">
        <v>53</v>
      </c>
      <c r="O250" s="181">
        <f>(T248*2.2%)</f>
        <v>52333.858720000004</v>
      </c>
      <c r="P250" s="188">
        <v>0.1115</v>
      </c>
      <c r="Q250" s="189">
        <f>O250/(1-P250)-SUM(Q252:Q252)</f>
        <v>52954.331005177271</v>
      </c>
      <c r="R250" s="188">
        <v>6.1499999999999999E-2</v>
      </c>
      <c r="S250" s="332">
        <f>R250*Q250</f>
        <v>3256.6913568184023</v>
      </c>
      <c r="T250" s="295">
        <f>Q250*(1-R250)</f>
        <v>49697.639648358869</v>
      </c>
      <c r="U250" s="412"/>
      <c r="V250" s="388"/>
    </row>
    <row r="251" spans="1:22" s="118" customFormat="1" ht="12" customHeight="1" x14ac:dyDescent="0.2">
      <c r="A251" s="162"/>
      <c r="B251" s="44" t="s">
        <v>76</v>
      </c>
      <c r="C251" s="23"/>
      <c r="D251" s="43"/>
      <c r="E251" s="43">
        <f>E248</f>
        <v>43906</v>
      </c>
      <c r="F251" s="23"/>
      <c r="G251" s="23"/>
      <c r="H251" s="38" t="s">
        <v>122</v>
      </c>
      <c r="I251" s="38" t="s">
        <v>58</v>
      </c>
      <c r="J251" s="25" t="s">
        <v>52</v>
      </c>
      <c r="K251" s="42">
        <v>341</v>
      </c>
      <c r="L251" s="41" t="s">
        <v>62</v>
      </c>
      <c r="M251" s="40" t="s">
        <v>55</v>
      </c>
      <c r="N251" s="42" t="s">
        <v>53</v>
      </c>
      <c r="O251" s="58">
        <f>0.9%*T248</f>
        <v>21409.305840000001</v>
      </c>
      <c r="P251" s="39">
        <v>0.1115</v>
      </c>
      <c r="Q251" s="27">
        <f>O251/(1-P251)</f>
        <v>24096.011074845246</v>
      </c>
      <c r="R251" s="39">
        <v>6.1499999999999999E-2</v>
      </c>
      <c r="S251" s="331">
        <f>R251*Q251</f>
        <v>1481.9046811029825</v>
      </c>
      <c r="T251" s="294">
        <f>Q251*(1-R251)</f>
        <v>22614.106393742262</v>
      </c>
      <c r="U251" s="412"/>
      <c r="V251" s="388"/>
    </row>
    <row r="252" spans="1:22" s="118" customFormat="1" ht="12" customHeight="1" x14ac:dyDescent="0.2">
      <c r="A252" s="162"/>
      <c r="B252" s="191" t="s">
        <v>78</v>
      </c>
      <c r="C252" s="192"/>
      <c r="D252" s="193">
        <f>E248</f>
        <v>43906</v>
      </c>
      <c r="E252" s="193">
        <f>E248</f>
        <v>43906</v>
      </c>
      <c r="F252" s="203"/>
      <c r="G252" s="203"/>
      <c r="H252" s="192" t="s">
        <v>108</v>
      </c>
      <c r="I252" s="192" t="s">
        <v>118</v>
      </c>
      <c r="J252" s="192" t="s">
        <v>131</v>
      </c>
      <c r="K252" s="194"/>
      <c r="L252" s="194"/>
      <c r="M252" s="195"/>
      <c r="N252" s="194"/>
      <c r="O252" s="191"/>
      <c r="P252" s="196"/>
      <c r="Q252" s="191">
        <f>0.25%*T248</f>
        <v>5947.0293999999994</v>
      </c>
      <c r="R252" s="196">
        <v>6.1499999999999999E-2</v>
      </c>
      <c r="S252" s="333">
        <f>R252*Q252</f>
        <v>365.74230809999995</v>
      </c>
      <c r="T252" s="296">
        <f>Q252*(1-R252)</f>
        <v>5581.2870918999997</v>
      </c>
      <c r="U252" s="412"/>
      <c r="V252" s="388"/>
    </row>
    <row r="253" spans="1:22" s="118" customFormat="1" ht="12" customHeight="1" x14ac:dyDescent="0.2">
      <c r="A253" s="162"/>
      <c r="B253" s="254"/>
      <c r="C253" s="255"/>
      <c r="D253" s="416"/>
      <c r="E253" s="256"/>
      <c r="F253" s="255"/>
      <c r="G253" s="255"/>
      <c r="H253" s="256" t="s">
        <v>40</v>
      </c>
      <c r="I253" s="256" t="s">
        <v>26</v>
      </c>
      <c r="J253" s="256"/>
      <c r="K253" s="420"/>
      <c r="L253" s="420"/>
      <c r="M253" s="420"/>
      <c r="N253" s="420"/>
      <c r="O253" s="257"/>
      <c r="P253" s="258"/>
      <c r="Q253" s="257"/>
      <c r="R253" s="258"/>
      <c r="S253" s="349"/>
      <c r="T253" s="259">
        <f>SUM(T254:T255)</f>
        <v>5927.6187244119301</v>
      </c>
      <c r="U253" s="412"/>
      <c r="V253" s="388"/>
    </row>
    <row r="254" spans="1:22" s="118" customFormat="1" ht="12" customHeight="1" x14ac:dyDescent="0.2">
      <c r="A254" s="162"/>
      <c r="B254" s="237" t="s">
        <v>77</v>
      </c>
      <c r="C254" s="56"/>
      <c r="D254" s="122"/>
      <c r="E254" s="145">
        <f>E248</f>
        <v>43906</v>
      </c>
      <c r="F254" s="56"/>
      <c r="G254" s="56"/>
      <c r="H254" s="146" t="s">
        <v>120</v>
      </c>
      <c r="I254" s="147" t="s">
        <v>58</v>
      </c>
      <c r="J254" s="147" t="s">
        <v>131</v>
      </c>
      <c r="K254" s="418"/>
      <c r="L254" s="418"/>
      <c r="M254" s="418"/>
      <c r="N254" s="418"/>
      <c r="O254" s="148"/>
      <c r="P254" s="125"/>
      <c r="Q254" s="149"/>
      <c r="R254" s="125"/>
      <c r="S254" s="343"/>
      <c r="T254" s="409">
        <f>SUMIF($J$249:$J$252,J254,$S$249:$S$252)</f>
        <v>365.74230809999995</v>
      </c>
      <c r="U254" s="412"/>
      <c r="V254" s="388"/>
    </row>
    <row r="255" spans="1:22" s="118" customFormat="1" ht="12" customHeight="1" x14ac:dyDescent="0.2">
      <c r="A255" s="162"/>
      <c r="B255" s="370" t="s">
        <v>77</v>
      </c>
      <c r="C255" s="371"/>
      <c r="D255" s="386"/>
      <c r="E255" s="372">
        <f>E248</f>
        <v>43906</v>
      </c>
      <c r="F255" s="371"/>
      <c r="G255" s="371"/>
      <c r="H255" s="373" t="s">
        <v>59</v>
      </c>
      <c r="I255" s="374" t="s">
        <v>58</v>
      </c>
      <c r="J255" s="374" t="s">
        <v>52</v>
      </c>
      <c r="K255" s="419"/>
      <c r="L255" s="419"/>
      <c r="M255" s="419"/>
      <c r="N255" s="419"/>
      <c r="O255" s="277"/>
      <c r="P255" s="278"/>
      <c r="Q255" s="279"/>
      <c r="R255" s="278"/>
      <c r="S255" s="352"/>
      <c r="T255" s="375">
        <f>SUMIF($J$249:$J$252,J255,$S$249:$S$252)</f>
        <v>5561.8764163119304</v>
      </c>
      <c r="U255" s="412"/>
      <c r="V255" s="388"/>
    </row>
    <row r="256" spans="1:22" s="118" customFormat="1" ht="12" customHeight="1" x14ac:dyDescent="0.2">
      <c r="A256" s="162"/>
      <c r="B256" s="151" t="s">
        <v>79</v>
      </c>
      <c r="C256" s="59"/>
      <c r="D256" s="377"/>
      <c r="E256" s="152">
        <f>E248</f>
        <v>43906</v>
      </c>
      <c r="F256" s="59"/>
      <c r="G256" s="59"/>
      <c r="H256" s="121" t="s">
        <v>37</v>
      </c>
      <c r="I256" s="121" t="s">
        <v>26</v>
      </c>
      <c r="J256" s="56" t="s">
        <v>29</v>
      </c>
      <c r="K256" s="122">
        <v>341</v>
      </c>
      <c r="L256" s="176" t="s">
        <v>62</v>
      </c>
      <c r="M256" s="123" t="s">
        <v>172</v>
      </c>
      <c r="N256" s="123" t="s">
        <v>173</v>
      </c>
      <c r="O256" s="153"/>
      <c r="P256" s="125"/>
      <c r="Q256" s="57"/>
      <c r="R256" s="125"/>
      <c r="S256" s="345"/>
      <c r="T256" s="294">
        <v>293079.03025625</v>
      </c>
      <c r="U256" s="412"/>
      <c r="V256" s="388"/>
    </row>
    <row r="257" spans="1:22" s="118" customFormat="1" ht="12" customHeight="1" x14ac:dyDescent="0.2">
      <c r="A257" s="162"/>
      <c r="B257" s="202" t="s">
        <v>79</v>
      </c>
      <c r="C257" s="203"/>
      <c r="D257" s="378"/>
      <c r="E257" s="204">
        <f>E248</f>
        <v>43906</v>
      </c>
      <c r="F257" s="203"/>
      <c r="G257" s="203"/>
      <c r="H257" s="184" t="s">
        <v>159</v>
      </c>
      <c r="I257" s="184" t="s">
        <v>26</v>
      </c>
      <c r="J257" s="182" t="s">
        <v>29</v>
      </c>
      <c r="K257" s="185">
        <v>341</v>
      </c>
      <c r="L257" s="186" t="s">
        <v>62</v>
      </c>
      <c r="M257" s="187" t="s">
        <v>172</v>
      </c>
      <c r="N257" s="187" t="s">
        <v>173</v>
      </c>
      <c r="O257" s="205"/>
      <c r="P257" s="188"/>
      <c r="Q257" s="189"/>
      <c r="R257" s="188"/>
      <c r="S257" s="332"/>
      <c r="T257" s="295">
        <f>T248-SUM(T249:T253)-SUM(T256:T256)</f>
        <v>1989348.685444369</v>
      </c>
      <c r="U257" s="412"/>
      <c r="V257" s="388"/>
    </row>
    <row r="258" spans="1:22" s="118" customFormat="1" ht="12" customHeight="1" x14ac:dyDescent="0.2">
      <c r="A258" s="162"/>
      <c r="B258" s="226" t="s">
        <v>116</v>
      </c>
      <c r="C258" s="218"/>
      <c r="D258" s="384"/>
      <c r="E258" s="219"/>
      <c r="F258" s="218"/>
      <c r="G258" s="218"/>
      <c r="H258" s="220"/>
      <c r="I258" s="220"/>
      <c r="J258" s="220"/>
      <c r="K258" s="221"/>
      <c r="L258" s="222"/>
      <c r="M258" s="223"/>
      <c r="N258" s="223"/>
      <c r="O258" s="224"/>
      <c r="P258" s="225"/>
      <c r="Q258" s="224"/>
      <c r="R258" s="225"/>
      <c r="S258" s="346"/>
      <c r="T258" s="309">
        <f>T248-SUM(T249:T253,T256:T257)</f>
        <v>0</v>
      </c>
      <c r="U258" s="412"/>
      <c r="V258" s="388"/>
    </row>
    <row r="259" spans="1:22" s="15" customFormat="1" ht="12" customHeight="1" x14ac:dyDescent="0.2">
      <c r="A259" s="156"/>
      <c r="H259" s="11"/>
      <c r="I259" s="11"/>
      <c r="J259" s="11"/>
      <c r="K259" s="11"/>
      <c r="L259" s="11"/>
      <c r="M259" s="11"/>
      <c r="N259" s="11"/>
      <c r="O259" s="11"/>
      <c r="P259" s="32"/>
      <c r="Q259" s="32"/>
      <c r="R259" s="32"/>
      <c r="S259" s="32"/>
      <c r="T259" s="32"/>
      <c r="U259" s="31"/>
      <c r="V259" s="59"/>
    </row>
    <row r="260" spans="1:22" s="15" customFormat="1" ht="12" customHeight="1" x14ac:dyDescent="0.2">
      <c r="A260" s="156"/>
      <c r="H260" s="11"/>
      <c r="I260" s="11"/>
      <c r="J260" s="11"/>
      <c r="K260" s="11"/>
      <c r="L260" s="11"/>
      <c r="M260" s="11"/>
      <c r="N260" s="11"/>
      <c r="O260" s="11"/>
      <c r="P260" s="32"/>
      <c r="Q260" s="32"/>
      <c r="R260" s="32"/>
      <c r="S260" s="32"/>
      <c r="T260" s="32"/>
      <c r="U260" s="31"/>
      <c r="V260" s="59"/>
    </row>
    <row r="261" spans="1:22" s="15" customFormat="1" ht="12" customHeight="1" x14ac:dyDescent="0.2">
      <c r="A261" s="156"/>
      <c r="H261" s="11"/>
      <c r="I261" s="11"/>
      <c r="J261" s="11"/>
      <c r="K261" s="11"/>
      <c r="L261" s="11"/>
      <c r="M261" s="11"/>
      <c r="N261" s="11"/>
      <c r="O261" s="11"/>
      <c r="P261" s="32"/>
      <c r="Q261" s="32"/>
      <c r="R261" s="32"/>
      <c r="S261" s="32"/>
      <c r="T261" s="32"/>
      <c r="U261" s="31"/>
      <c r="V261" s="59"/>
    </row>
    <row r="262" spans="1:22" s="15" customFormat="1" ht="12" customHeight="1" x14ac:dyDescent="0.2">
      <c r="A262" s="156"/>
      <c r="H262" s="11"/>
      <c r="I262" s="11"/>
      <c r="J262" s="11"/>
      <c r="K262" s="11"/>
      <c r="L262" s="11"/>
      <c r="M262" s="11"/>
      <c r="N262" s="11"/>
      <c r="O262" s="11"/>
      <c r="P262" s="32"/>
      <c r="Q262" s="32"/>
      <c r="R262" s="32"/>
      <c r="S262" s="32"/>
      <c r="T262" s="32"/>
      <c r="U262" s="31"/>
      <c r="V262" s="59"/>
    </row>
    <row r="263" spans="1:22" s="15" customFormat="1" ht="12" customHeight="1" x14ac:dyDescent="0.2">
      <c r="A263" s="156"/>
      <c r="H263" s="11"/>
      <c r="I263" s="11"/>
      <c r="J263" s="11"/>
      <c r="K263" s="11"/>
      <c r="L263" s="11"/>
      <c r="M263" s="11"/>
      <c r="N263" s="11"/>
      <c r="O263" s="11"/>
      <c r="P263" s="32"/>
      <c r="Q263" s="32"/>
      <c r="R263" s="32"/>
      <c r="S263" s="32"/>
      <c r="T263" s="32"/>
      <c r="U263" s="31"/>
      <c r="V263" s="59"/>
    </row>
    <row r="264" spans="1:22" s="15" customFormat="1" ht="12" customHeight="1" x14ac:dyDescent="0.2">
      <c r="A264" s="156"/>
      <c r="H264" s="11"/>
      <c r="I264" s="11"/>
      <c r="J264" s="11"/>
      <c r="K264" s="11"/>
      <c r="L264" s="11"/>
      <c r="M264" s="11"/>
      <c r="N264" s="11"/>
      <c r="O264" s="11"/>
      <c r="P264" s="32"/>
      <c r="Q264" s="32"/>
      <c r="R264" s="32"/>
      <c r="S264" s="32"/>
      <c r="T264" s="32"/>
      <c r="U264" s="31"/>
      <c r="V264" s="59"/>
    </row>
    <row r="265" spans="1:22" s="15" customFormat="1" ht="12" customHeight="1" x14ac:dyDescent="0.2">
      <c r="A265" s="156"/>
      <c r="H265" s="11"/>
      <c r="I265" s="11"/>
      <c r="J265" s="11"/>
      <c r="K265" s="11"/>
      <c r="L265" s="11"/>
      <c r="M265" s="11"/>
      <c r="N265" s="11"/>
      <c r="O265" s="11"/>
      <c r="P265" s="32"/>
      <c r="Q265" s="32"/>
      <c r="R265" s="32"/>
      <c r="S265" s="32"/>
      <c r="T265" s="32"/>
      <c r="U265" s="31"/>
      <c r="V265" s="59"/>
    </row>
    <row r="266" spans="1:22" s="15" customFormat="1" ht="12" customHeight="1" x14ac:dyDescent="0.2">
      <c r="A266" s="156"/>
      <c r="H266" s="11"/>
      <c r="I266" s="11"/>
      <c r="J266" s="11"/>
      <c r="K266" s="11"/>
      <c r="L266" s="11"/>
      <c r="M266" s="11"/>
      <c r="N266" s="11"/>
      <c r="O266" s="11"/>
      <c r="P266" s="32"/>
      <c r="Q266" s="32"/>
      <c r="R266" s="32"/>
      <c r="S266" s="32"/>
      <c r="T266" s="32"/>
      <c r="U266" s="31"/>
      <c r="V266" s="59"/>
    </row>
    <row r="267" spans="1:22" s="15" customFormat="1" ht="12" customHeight="1" x14ac:dyDescent="0.2">
      <c r="A267" s="156"/>
      <c r="H267" s="33"/>
      <c r="I267" s="11"/>
      <c r="J267" s="11"/>
      <c r="K267" s="11"/>
      <c r="L267" s="11"/>
      <c r="M267" s="11"/>
      <c r="N267" s="11"/>
      <c r="O267" s="11"/>
      <c r="P267" s="32"/>
      <c r="Q267" s="32"/>
      <c r="R267" s="32"/>
      <c r="S267" s="32"/>
      <c r="T267" s="32"/>
      <c r="U267" s="31"/>
      <c r="V267" s="59"/>
    </row>
    <row r="268" spans="1:22" s="15" customFormat="1" ht="12" customHeight="1" x14ac:dyDescent="0.2">
      <c r="A268" s="156"/>
      <c r="H268" s="11"/>
      <c r="I268" s="11"/>
      <c r="J268" s="11"/>
      <c r="K268" s="11"/>
      <c r="L268" s="11"/>
      <c r="M268" s="11"/>
      <c r="N268" s="11"/>
      <c r="O268" s="11"/>
      <c r="P268" s="32"/>
      <c r="Q268" s="32"/>
      <c r="R268" s="32"/>
      <c r="S268" s="32"/>
      <c r="T268" s="37"/>
      <c r="U268" s="29"/>
      <c r="V268" s="59"/>
    </row>
    <row r="269" spans="1:22" s="15" customFormat="1" ht="14.25" x14ac:dyDescent="0.2">
      <c r="A269" s="156"/>
      <c r="H269" s="11"/>
      <c r="I269" s="11"/>
      <c r="J269" s="11"/>
      <c r="K269" s="11"/>
      <c r="L269" s="11"/>
      <c r="M269" s="11"/>
      <c r="N269" s="11"/>
      <c r="O269" s="11"/>
      <c r="P269" s="32"/>
      <c r="Q269" s="32"/>
      <c r="R269" s="32"/>
      <c r="S269" s="32"/>
      <c r="T269" s="32"/>
      <c r="U269" s="34"/>
      <c r="V269" s="59"/>
    </row>
    <row r="270" spans="1:22" s="15" customFormat="1" ht="15" thickBot="1" x14ac:dyDescent="0.25">
      <c r="A270" s="156"/>
      <c r="H270" s="11"/>
      <c r="I270" s="11"/>
      <c r="J270" s="11"/>
      <c r="K270" s="11"/>
      <c r="L270" s="11"/>
      <c r="M270" s="11"/>
      <c r="N270" s="11"/>
      <c r="O270" s="11"/>
      <c r="P270" s="14"/>
      <c r="Q270" s="14"/>
      <c r="R270" s="14"/>
      <c r="S270" s="14"/>
      <c r="T270" s="14"/>
      <c r="U270" s="34"/>
      <c r="V270" s="59"/>
    </row>
    <row r="271" spans="1:22" ht="12" customHeight="1" x14ac:dyDescent="0.2">
      <c r="I271" s="422" t="s">
        <v>46</v>
      </c>
      <c r="J271" s="422"/>
      <c r="K271" s="422"/>
      <c r="L271" s="422"/>
      <c r="M271" s="422"/>
      <c r="N271" s="422"/>
      <c r="O271" s="422"/>
      <c r="U271" s="35"/>
    </row>
    <row r="272" spans="1:22" ht="12" customHeight="1" x14ac:dyDescent="0.2">
      <c r="I272" s="423"/>
      <c r="J272" s="423"/>
      <c r="K272" s="423"/>
      <c r="L272" s="423"/>
      <c r="M272" s="423"/>
      <c r="N272" s="423"/>
      <c r="O272" s="423"/>
      <c r="U272" s="35"/>
    </row>
    <row r="273" spans="21:21" ht="12" customHeight="1" x14ac:dyDescent="0.2">
      <c r="U273" s="35"/>
    </row>
    <row r="274" spans="21:21" ht="12" customHeight="1" x14ac:dyDescent="0.2">
      <c r="U274" s="35"/>
    </row>
  </sheetData>
  <mergeCells count="55">
    <mergeCell ref="O3:Q3"/>
    <mergeCell ref="K140:N140"/>
    <mergeCell ref="K141:N141"/>
    <mergeCell ref="K128:N128"/>
    <mergeCell ref="K42:N42"/>
    <mergeCell ref="K72:N72"/>
    <mergeCell ref="K73:N73"/>
    <mergeCell ref="K56:N56"/>
    <mergeCell ref="K85:N85"/>
    <mergeCell ref="K98:N98"/>
    <mergeCell ref="K115:N115"/>
    <mergeCell ref="K127:N127"/>
    <mergeCell ref="K57:N57"/>
    <mergeCell ref="W62:Z62"/>
    <mergeCell ref="K86:N86"/>
    <mergeCell ref="K191:N191"/>
    <mergeCell ref="K192:N192"/>
    <mergeCell ref="K193:N193"/>
    <mergeCell ref="K153:N153"/>
    <mergeCell ref="K178:N178"/>
    <mergeCell ref="K180:N180"/>
    <mergeCell ref="K154:N154"/>
    <mergeCell ref="K179:N179"/>
    <mergeCell ref="K164:N164"/>
    <mergeCell ref="K165:N165"/>
    <mergeCell ref="K99:N99"/>
    <mergeCell ref="K114:N114"/>
    <mergeCell ref="I271:O272"/>
    <mergeCell ref="K22:N22"/>
    <mergeCell ref="K23:N23"/>
    <mergeCell ref="K24:N24"/>
    <mergeCell ref="K25:N25"/>
    <mergeCell ref="K30:N30"/>
    <mergeCell ref="K26:N26"/>
    <mergeCell ref="K27:N27"/>
    <mergeCell ref="K29:N29"/>
    <mergeCell ref="K31:N31"/>
    <mergeCell ref="K43:N43"/>
    <mergeCell ref="K44:N44"/>
    <mergeCell ref="K229:N229"/>
    <mergeCell ref="K230:N230"/>
    <mergeCell ref="K217:N217"/>
    <mergeCell ref="K231:N231"/>
    <mergeCell ref="K218:N218"/>
    <mergeCell ref="K219:N219"/>
    <mergeCell ref="D2:H3"/>
    <mergeCell ref="K207:N207"/>
    <mergeCell ref="K205:N205"/>
    <mergeCell ref="K206:N206"/>
    <mergeCell ref="K254:N254"/>
    <mergeCell ref="K255:N255"/>
    <mergeCell ref="K241:N241"/>
    <mergeCell ref="K242:N242"/>
    <mergeCell ref="K243:N243"/>
    <mergeCell ref="K253:N253"/>
  </mergeCells>
  <printOptions horizontalCentered="1" verticalCentered="1"/>
  <pageMargins left="0.11811023622047245" right="0.11811023622047245" top="0.39370078740157483" bottom="0.39370078740157483" header="0" footer="0"/>
  <pageSetup paperSize="9" scale="7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319732-BE2A-4A42-BB83-4096D5F11833}">
          <x14:formula1>
            <xm:f>Referencias!$A$2:$A$9</xm:f>
          </x14:formula1>
          <xm:sqref>B7:B258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735B-19D6-4097-9F9A-718144BCAB33}">
  <sheetPr codeName="Sheet3"/>
  <dimension ref="A1:A9"/>
  <sheetViews>
    <sheetView workbookViewId="0">
      <selection activeCell="H7" sqref="H7"/>
    </sheetView>
  </sheetViews>
  <sheetFormatPr defaultRowHeight="14.25" x14ac:dyDescent="0.2"/>
  <cols>
    <col min="1" max="1" width="22.375" bestFit="1" customWidth="1"/>
  </cols>
  <sheetData>
    <row r="1" spans="1:1" s="174" customFormat="1" ht="15" x14ac:dyDescent="0.25">
      <c r="A1" s="174" t="s">
        <v>75</v>
      </c>
    </row>
    <row r="2" spans="1:1" x14ac:dyDescent="0.2">
      <c r="A2" t="s">
        <v>101</v>
      </c>
    </row>
    <row r="3" spans="1:1" x14ac:dyDescent="0.2">
      <c r="A3" t="s">
        <v>76</v>
      </c>
    </row>
    <row r="4" spans="1:1" x14ac:dyDescent="0.2">
      <c r="A4" t="s">
        <v>78</v>
      </c>
    </row>
    <row r="5" spans="1:1" x14ac:dyDescent="0.2">
      <c r="A5" t="s">
        <v>89</v>
      </c>
    </row>
    <row r="6" spans="1:1" x14ac:dyDescent="0.2">
      <c r="A6" t="s">
        <v>77</v>
      </c>
    </row>
    <row r="7" spans="1:1" x14ac:dyDescent="0.2">
      <c r="A7" t="s">
        <v>79</v>
      </c>
    </row>
    <row r="8" spans="1:1" x14ac:dyDescent="0.2">
      <c r="A8" t="s">
        <v>104</v>
      </c>
    </row>
    <row r="9" spans="1:1" x14ac:dyDescent="0.2">
      <c r="A9" t="s">
        <v>116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3A01-85E7-4F58-8609-D73ADD6CE88A}">
  <sheetPr codeName="Sheet4"/>
  <dimension ref="B2:T43"/>
  <sheetViews>
    <sheetView topLeftCell="A19" workbookViewId="0">
      <selection activeCell="E38" sqref="E38"/>
    </sheetView>
  </sheetViews>
  <sheetFormatPr defaultRowHeight="14.25" x14ac:dyDescent="0.2"/>
  <cols>
    <col min="1" max="1" width="2.75" customWidth="1"/>
    <col min="2" max="2" width="20.625" customWidth="1"/>
    <col min="3" max="4" width="16.625" bestFit="1" customWidth="1"/>
    <col min="5" max="5" width="12" bestFit="1" customWidth="1"/>
    <col min="6" max="6" width="8.625" customWidth="1"/>
    <col min="7" max="7" width="9" customWidth="1"/>
    <col min="8" max="8" width="16.625" bestFit="1" customWidth="1"/>
    <col min="9" max="9" width="22.375" bestFit="1" customWidth="1"/>
    <col min="10" max="10" width="14.875" bestFit="1" customWidth="1"/>
    <col min="11" max="11" width="6.5" customWidth="1"/>
    <col min="12" max="12" width="13.5" customWidth="1"/>
    <col min="13" max="14" width="6.625" customWidth="1"/>
    <col min="15" max="15" width="11" customWidth="1"/>
    <col min="16" max="16" width="7.5" customWidth="1"/>
    <col min="17" max="17" width="12.75" customWidth="1"/>
    <col min="18" max="19" width="7.625" bestFit="1" customWidth="1"/>
    <col min="20" max="20" width="15.5" customWidth="1"/>
  </cols>
  <sheetData>
    <row r="2" spans="2:20" ht="24" x14ac:dyDescent="0.2">
      <c r="B2" s="16" t="s">
        <v>75</v>
      </c>
      <c r="C2" s="16" t="s">
        <v>0</v>
      </c>
      <c r="D2" s="164" t="s">
        <v>103</v>
      </c>
      <c r="E2" s="16" t="s">
        <v>100</v>
      </c>
      <c r="F2" s="16" t="s">
        <v>133</v>
      </c>
      <c r="G2" s="16" t="s">
        <v>47</v>
      </c>
      <c r="H2" s="24" t="s">
        <v>1</v>
      </c>
      <c r="I2" s="24" t="s">
        <v>2</v>
      </c>
      <c r="J2" s="16" t="s">
        <v>3</v>
      </c>
      <c r="K2" s="16" t="s">
        <v>4</v>
      </c>
      <c r="L2" s="16" t="s">
        <v>5</v>
      </c>
      <c r="M2" s="16" t="s">
        <v>6</v>
      </c>
      <c r="N2" s="16" t="s">
        <v>7</v>
      </c>
      <c r="O2" s="16" t="s">
        <v>43</v>
      </c>
      <c r="P2" s="16" t="s">
        <v>42</v>
      </c>
      <c r="Q2" s="16" t="s">
        <v>41</v>
      </c>
      <c r="R2" s="16" t="s">
        <v>45</v>
      </c>
      <c r="S2" s="16" t="s">
        <v>44</v>
      </c>
      <c r="T2" s="291" t="s">
        <v>102</v>
      </c>
    </row>
    <row r="3" spans="2:20" x14ac:dyDescent="0.2">
      <c r="B3" s="320" t="s">
        <v>101</v>
      </c>
      <c r="C3" s="134" t="s">
        <v>116</v>
      </c>
      <c r="D3" s="135"/>
      <c r="E3" s="136">
        <v>43434</v>
      </c>
      <c r="F3" s="137"/>
      <c r="G3" s="138"/>
      <c r="H3" s="139" t="s">
        <v>117</v>
      </c>
      <c r="I3" s="139"/>
      <c r="J3" s="139"/>
      <c r="K3" s="140"/>
      <c r="L3" s="140"/>
      <c r="M3" s="141"/>
      <c r="N3" s="140"/>
      <c r="O3" s="133"/>
      <c r="P3" s="142"/>
      <c r="Q3" s="143"/>
      <c r="R3" s="142"/>
      <c r="S3" s="144"/>
      <c r="T3" s="293">
        <v>6000000</v>
      </c>
    </row>
    <row r="4" spans="2:20" x14ac:dyDescent="0.2">
      <c r="B4" s="321" t="s">
        <v>78</v>
      </c>
      <c r="C4" s="192"/>
      <c r="D4" s="193"/>
      <c r="E4" s="193">
        <v>43434</v>
      </c>
      <c r="F4" s="192"/>
      <c r="G4" s="192"/>
      <c r="H4" s="192" t="s">
        <v>108</v>
      </c>
      <c r="I4" s="192" t="s">
        <v>118</v>
      </c>
      <c r="J4" s="192" t="s">
        <v>131</v>
      </c>
      <c r="K4" s="194"/>
      <c r="L4" s="194"/>
      <c r="M4" s="195"/>
      <c r="N4" s="194"/>
      <c r="O4" s="191"/>
      <c r="P4" s="196"/>
      <c r="Q4" s="191">
        <f>0.25%*T3</f>
        <v>15000</v>
      </c>
      <c r="R4" s="196">
        <v>6.1499999999999999E-2</v>
      </c>
      <c r="S4" s="197">
        <f>R4*Q4</f>
        <v>922.5</v>
      </c>
      <c r="T4" s="296">
        <f t="shared" ref="T4" si="0">Q4*(1-R4)</f>
        <v>14077.5</v>
      </c>
    </row>
    <row r="5" spans="2:20" x14ac:dyDescent="0.2">
      <c r="B5" s="320" t="s">
        <v>101</v>
      </c>
      <c r="C5" s="134" t="s">
        <v>116</v>
      </c>
      <c r="D5" s="135"/>
      <c r="E5" s="136">
        <v>43439</v>
      </c>
      <c r="F5" s="137"/>
      <c r="G5" s="138"/>
      <c r="H5" s="139" t="s">
        <v>117</v>
      </c>
      <c r="I5" s="139"/>
      <c r="J5" s="139"/>
      <c r="K5" s="140"/>
      <c r="L5" s="140"/>
      <c r="M5" s="141"/>
      <c r="N5" s="140"/>
      <c r="O5" s="133"/>
      <c r="P5" s="142"/>
      <c r="Q5" s="143"/>
      <c r="R5" s="142"/>
      <c r="S5" s="144"/>
      <c r="T5" s="293">
        <v>401007.98936000001</v>
      </c>
    </row>
    <row r="6" spans="2:20" x14ac:dyDescent="0.2">
      <c r="B6" s="321" t="s">
        <v>78</v>
      </c>
      <c r="C6" s="192"/>
      <c r="D6" s="193"/>
      <c r="E6" s="193">
        <v>43439</v>
      </c>
      <c r="F6" s="192"/>
      <c r="G6" s="192"/>
      <c r="H6" s="192" t="s">
        <v>108</v>
      </c>
      <c r="I6" s="192" t="s">
        <v>118</v>
      </c>
      <c r="J6" s="192" t="s">
        <v>131</v>
      </c>
      <c r="K6" s="194"/>
      <c r="L6" s="194"/>
      <c r="M6" s="195"/>
      <c r="N6" s="194"/>
      <c r="O6" s="191"/>
      <c r="P6" s="196"/>
      <c r="Q6" s="191">
        <f>0.25%*T5</f>
        <v>1002.5199734</v>
      </c>
      <c r="R6" s="196">
        <v>6.1499999999999999E-2</v>
      </c>
      <c r="S6" s="197">
        <f>R6*Q6</f>
        <v>61.654978364100003</v>
      </c>
      <c r="T6" s="296">
        <f t="shared" ref="T6" si="1">Q6*(1-R6)</f>
        <v>940.86499503590005</v>
      </c>
    </row>
    <row r="7" spans="2:20" x14ac:dyDescent="0.2">
      <c r="B7" s="320" t="s">
        <v>101</v>
      </c>
      <c r="C7" s="134" t="s">
        <v>116</v>
      </c>
      <c r="D7" s="135"/>
      <c r="E7" s="136">
        <v>43441</v>
      </c>
      <c r="F7" s="137"/>
      <c r="G7" s="138"/>
      <c r="H7" s="139" t="s">
        <v>117</v>
      </c>
      <c r="I7" s="139"/>
      <c r="J7" s="139"/>
      <c r="K7" s="140"/>
      <c r="L7" s="140"/>
      <c r="M7" s="141"/>
      <c r="N7" s="140"/>
      <c r="O7" s="133"/>
      <c r="P7" s="142"/>
      <c r="Q7" s="143"/>
      <c r="R7" s="142"/>
      <c r="S7" s="144"/>
      <c r="T7" s="293">
        <v>601964.51572799997</v>
      </c>
    </row>
    <row r="8" spans="2:20" x14ac:dyDescent="0.2">
      <c r="B8" s="321" t="s">
        <v>78</v>
      </c>
      <c r="C8" s="192"/>
      <c r="D8" s="192"/>
      <c r="E8" s="193">
        <v>43441</v>
      </c>
      <c r="F8" s="203"/>
      <c r="G8" s="203"/>
      <c r="H8" s="192" t="s">
        <v>108</v>
      </c>
      <c r="I8" s="192" t="s">
        <v>118</v>
      </c>
      <c r="J8" s="192" t="s">
        <v>131</v>
      </c>
      <c r="K8" s="194"/>
      <c r="L8" s="194"/>
      <c r="M8" s="195"/>
      <c r="N8" s="194"/>
      <c r="O8" s="191"/>
      <c r="P8" s="196"/>
      <c r="Q8" s="191">
        <f>0.25%*T7</f>
        <v>1504.9112893199999</v>
      </c>
      <c r="R8" s="196">
        <v>6.1499999999999999E-2</v>
      </c>
      <c r="S8" s="197">
        <f>R8*Q8</f>
        <v>92.552044293179989</v>
      </c>
      <c r="T8" s="296">
        <f t="shared" ref="T8" si="2">Q8*(1-R8)</f>
        <v>1412.35924502682</v>
      </c>
    </row>
    <row r="9" spans="2:20" x14ac:dyDescent="0.2">
      <c r="B9" s="320" t="s">
        <v>101</v>
      </c>
      <c r="C9" s="134" t="s">
        <v>116</v>
      </c>
      <c r="D9" s="135"/>
      <c r="E9" s="62">
        <v>43444</v>
      </c>
      <c r="F9" s="137"/>
      <c r="G9" s="138"/>
      <c r="H9" s="139" t="s">
        <v>117</v>
      </c>
      <c r="I9" s="139"/>
      <c r="J9" s="139"/>
      <c r="K9" s="140"/>
      <c r="L9" s="140"/>
      <c r="M9" s="141"/>
      <c r="N9" s="140"/>
      <c r="O9" s="133"/>
      <c r="P9" s="142"/>
      <c r="Q9" s="143"/>
      <c r="R9" s="142"/>
      <c r="S9" s="144"/>
      <c r="T9" s="293">
        <v>1306560.194563</v>
      </c>
    </row>
    <row r="10" spans="2:20" x14ac:dyDescent="0.2">
      <c r="B10" s="321" t="s">
        <v>78</v>
      </c>
      <c r="C10" s="192"/>
      <c r="D10" s="192"/>
      <c r="E10" s="193">
        <v>43444</v>
      </c>
      <c r="F10" s="203"/>
      <c r="G10" s="203"/>
      <c r="H10" s="192" t="s">
        <v>108</v>
      </c>
      <c r="I10" s="192" t="s">
        <v>118</v>
      </c>
      <c r="J10" s="192" t="s">
        <v>131</v>
      </c>
      <c r="K10" s="194"/>
      <c r="L10" s="194"/>
      <c r="M10" s="195"/>
      <c r="N10" s="194"/>
      <c r="O10" s="191"/>
      <c r="P10" s="196"/>
      <c r="Q10" s="191">
        <f>0.25%*T9</f>
        <v>3266.4004864075</v>
      </c>
      <c r="R10" s="196">
        <v>6.1499999999999999E-2</v>
      </c>
      <c r="S10" s="197">
        <f t="shared" ref="S10" si="3">R10*Q10</f>
        <v>200.88362991406126</v>
      </c>
      <c r="T10" s="296">
        <f t="shared" ref="T10" si="4">Q10*(1-R10)</f>
        <v>3065.5168564934388</v>
      </c>
    </row>
    <row r="11" spans="2:20" x14ac:dyDescent="0.2">
      <c r="B11" s="320" t="s">
        <v>101</v>
      </c>
      <c r="C11" s="134" t="s">
        <v>116</v>
      </c>
      <c r="D11" s="135"/>
      <c r="E11" s="62">
        <v>43445</v>
      </c>
      <c r="F11" s="137"/>
      <c r="G11" s="138"/>
      <c r="H11" s="139" t="s">
        <v>117</v>
      </c>
      <c r="I11" s="139"/>
      <c r="J11" s="139"/>
      <c r="K11" s="140"/>
      <c r="L11" s="140"/>
      <c r="M11" s="141"/>
      <c r="N11" s="140"/>
      <c r="O11" s="133"/>
      <c r="P11" s="142"/>
      <c r="Q11" s="143"/>
      <c r="R11" s="142"/>
      <c r="S11" s="144"/>
      <c r="T11" s="293">
        <v>5029449.1680499995</v>
      </c>
    </row>
    <row r="12" spans="2:20" x14ac:dyDescent="0.2">
      <c r="B12" s="321" t="s">
        <v>78</v>
      </c>
      <c r="C12" s="192"/>
      <c r="D12" s="192"/>
      <c r="E12" s="193">
        <v>43445</v>
      </c>
      <c r="F12" s="203"/>
      <c r="G12" s="203"/>
      <c r="H12" s="192" t="s">
        <v>108</v>
      </c>
      <c r="I12" s="192" t="s">
        <v>118</v>
      </c>
      <c r="J12" s="192" t="s">
        <v>131</v>
      </c>
      <c r="K12" s="194"/>
      <c r="L12" s="194"/>
      <c r="M12" s="195"/>
      <c r="N12" s="194"/>
      <c r="O12" s="191"/>
      <c r="P12" s="196"/>
      <c r="Q12" s="191">
        <f>0.25%*T11</f>
        <v>12573.622920124999</v>
      </c>
      <c r="R12" s="196">
        <v>6.1499999999999999E-2</v>
      </c>
      <c r="S12" s="197">
        <f t="shared" ref="S12" si="5">R12*Q12</f>
        <v>773.27780958768744</v>
      </c>
      <c r="T12" s="296">
        <f t="shared" ref="T12" si="6">Q12*(1-R12)</f>
        <v>11800.345110537311</v>
      </c>
    </row>
    <row r="13" spans="2:20" x14ac:dyDescent="0.2">
      <c r="B13" s="320" t="s">
        <v>101</v>
      </c>
      <c r="C13" s="134" t="s">
        <v>116</v>
      </c>
      <c r="D13" s="135"/>
      <c r="E13" s="62">
        <v>43448</v>
      </c>
      <c r="F13" s="137"/>
      <c r="G13" s="138"/>
      <c r="H13" s="139" t="s">
        <v>117</v>
      </c>
      <c r="I13" s="139"/>
      <c r="J13" s="139"/>
      <c r="K13" s="140"/>
      <c r="L13" s="140"/>
      <c r="M13" s="141"/>
      <c r="N13" s="140"/>
      <c r="O13" s="133"/>
      <c r="P13" s="142"/>
      <c r="Q13" s="143"/>
      <c r="R13" s="142"/>
      <c r="S13" s="144"/>
      <c r="T13" s="293">
        <v>704591.37</v>
      </c>
    </row>
    <row r="14" spans="2:20" x14ac:dyDescent="0.2">
      <c r="B14" s="321" t="s">
        <v>78</v>
      </c>
      <c r="C14" s="192"/>
      <c r="D14" s="192"/>
      <c r="E14" s="193">
        <v>43448</v>
      </c>
      <c r="F14" s="203"/>
      <c r="G14" s="203"/>
      <c r="H14" s="192" t="s">
        <v>108</v>
      </c>
      <c r="I14" s="192" t="s">
        <v>118</v>
      </c>
      <c r="J14" s="192" t="s">
        <v>131</v>
      </c>
      <c r="K14" s="194"/>
      <c r="L14" s="194"/>
      <c r="M14" s="195"/>
      <c r="N14" s="194"/>
      <c r="O14" s="191"/>
      <c r="P14" s="196"/>
      <c r="Q14" s="191">
        <f>0.25%*T13</f>
        <v>1761.478425</v>
      </c>
      <c r="R14" s="196">
        <v>6.1499999999999999E-2</v>
      </c>
      <c r="S14" s="197">
        <f t="shared" ref="S14" si="7">R14*Q14</f>
        <v>108.33092313749999</v>
      </c>
      <c r="T14" s="296">
        <f t="shared" ref="T14" si="8">Q14*(1-R14)</f>
        <v>1653.1475018625001</v>
      </c>
    </row>
    <row r="15" spans="2:20" ht="6" customHeight="1" x14ac:dyDescent="0.2"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</row>
    <row r="16" spans="2:20" x14ac:dyDescent="0.2">
      <c r="B16" s="324" t="s">
        <v>142</v>
      </c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6">
        <f>SUM(Q14,Q12,Q10,Q8,Q6,Q4)</f>
        <v>35108.933094252498</v>
      </c>
      <c r="R16" s="325"/>
      <c r="S16" s="325"/>
      <c r="T16" s="326">
        <f>SUM(T14,T12,T10,T8,T6,T4)</f>
        <v>32949.733708955973</v>
      </c>
    </row>
    <row r="20" spans="2:20" x14ac:dyDescent="0.2">
      <c r="B20" s="134"/>
      <c r="C20" s="134" t="s">
        <v>134</v>
      </c>
      <c r="D20" s="63"/>
      <c r="E20" s="62">
        <v>43444</v>
      </c>
      <c r="F20" s="63">
        <v>1000</v>
      </c>
      <c r="G20" s="63">
        <v>950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293">
        <f>F20*G20</f>
        <v>950000</v>
      </c>
    </row>
    <row r="21" spans="2:20" x14ac:dyDescent="0.2">
      <c r="B21" s="134"/>
      <c r="C21" s="134">
        <v>199</v>
      </c>
      <c r="D21" s="63"/>
      <c r="E21" s="62">
        <v>43474</v>
      </c>
      <c r="F21" s="63">
        <v>1000</v>
      </c>
      <c r="G21" s="63">
        <v>1050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293">
        <f t="shared" ref="T21:T22" si="9">F21*G21</f>
        <v>1050000</v>
      </c>
    </row>
    <row r="22" spans="2:20" x14ac:dyDescent="0.2">
      <c r="B22" s="134"/>
      <c r="C22" s="134">
        <v>199</v>
      </c>
      <c r="D22" s="63"/>
      <c r="E22" s="62">
        <v>43476</v>
      </c>
      <c r="F22" s="63">
        <v>1000.89983899</v>
      </c>
      <c r="G22" s="63">
        <v>760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293">
        <f t="shared" si="9"/>
        <v>760683.87763240002</v>
      </c>
    </row>
    <row r="23" spans="2:20" x14ac:dyDescent="0.2">
      <c r="B23" s="324" t="s">
        <v>161</v>
      </c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93">
        <f>SUM(T20:T22)</f>
        <v>2760683.8776324</v>
      </c>
    </row>
    <row r="24" spans="2:20" x14ac:dyDescent="0.2">
      <c r="B24" s="324" t="s">
        <v>162</v>
      </c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6">
        <f>0.25%*T23</f>
        <v>6901.7096940810006</v>
      </c>
      <c r="R24" s="325">
        <v>6.1499999999999999E-2</v>
      </c>
      <c r="S24" s="325">
        <f t="shared" ref="S24" si="10">R24*Q24</f>
        <v>424.4551461859815</v>
      </c>
      <c r="T24" s="326">
        <f t="shared" ref="T24" si="11">Q24*(1-R24)</f>
        <v>6477.2545478950187</v>
      </c>
    </row>
    <row r="29" spans="2:20" ht="15" x14ac:dyDescent="0.25">
      <c r="B29" s="174" t="s">
        <v>163</v>
      </c>
      <c r="C29" s="402">
        <f>SUMIF('Relatório Liquidação'!C:C,"Total Dia",'Relatório Liquidação'!T:T)</f>
        <v>57957457.877700999</v>
      </c>
    </row>
    <row r="30" spans="2:20" x14ac:dyDescent="0.2">
      <c r="B30" t="s">
        <v>164</v>
      </c>
      <c r="C30" s="403">
        <f>C29*0.25%</f>
        <v>144893.64469425249</v>
      </c>
    </row>
    <row r="31" spans="2:20" ht="15" x14ac:dyDescent="0.25">
      <c r="B31" s="398" t="s">
        <v>165</v>
      </c>
      <c r="C31" s="408">
        <f>C30*(1-6.15%)</f>
        <v>135982.68554555596</v>
      </c>
      <c r="H31" s="397"/>
    </row>
    <row r="35" spans="2:4" ht="15" x14ac:dyDescent="0.25">
      <c r="B35" s="174" t="s">
        <v>166</v>
      </c>
      <c r="C35" s="404" t="s">
        <v>41</v>
      </c>
      <c r="D35" s="398" t="s">
        <v>167</v>
      </c>
    </row>
    <row r="36" spans="2:4" x14ac:dyDescent="0.2">
      <c r="B36" s="119">
        <v>1</v>
      </c>
      <c r="C36" s="405">
        <v>35108.93</v>
      </c>
      <c r="D36" s="400">
        <v>32949.75</v>
      </c>
    </row>
    <row r="37" spans="2:4" x14ac:dyDescent="0.2">
      <c r="B37" s="119">
        <v>2</v>
      </c>
      <c r="C37" s="405">
        <v>24842.16</v>
      </c>
      <c r="D37" s="400">
        <v>23314.38</v>
      </c>
    </row>
    <row r="38" spans="2:4" x14ac:dyDescent="0.2">
      <c r="B38" s="119">
        <v>3</v>
      </c>
      <c r="C38" s="405">
        <v>2362.34</v>
      </c>
      <c r="D38" s="400">
        <v>2217.0700000000002</v>
      </c>
    </row>
    <row r="39" spans="2:4" x14ac:dyDescent="0.2">
      <c r="B39" s="396" t="s">
        <v>168</v>
      </c>
      <c r="C39" s="405">
        <v>3845.47</v>
      </c>
      <c r="D39" s="400">
        <v>3608.99</v>
      </c>
    </row>
    <row r="40" spans="2:4" x14ac:dyDescent="0.2">
      <c r="C40" s="406"/>
      <c r="D40" s="398"/>
    </row>
    <row r="41" spans="2:4" x14ac:dyDescent="0.2">
      <c r="B41" s="322" t="s">
        <v>10</v>
      </c>
      <c r="C41" s="407">
        <f>SUM(C36:C39)</f>
        <v>66158.899999999994</v>
      </c>
      <c r="D41" s="401">
        <f>SUM(D36:D39)</f>
        <v>62090.19</v>
      </c>
    </row>
    <row r="42" spans="2:4" x14ac:dyDescent="0.2">
      <c r="D42" s="398"/>
    </row>
    <row r="43" spans="2:4" x14ac:dyDescent="0.2">
      <c r="B43" t="s">
        <v>157</v>
      </c>
      <c r="C43" s="395">
        <f>C30-C41</f>
        <v>78734.744694252498</v>
      </c>
      <c r="D43" s="399">
        <f>C31-D41</f>
        <v>73892.495545555954</v>
      </c>
    </row>
  </sheetData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F44CFD8-2CA5-4780-880B-4AAD43E45B89}">
          <x14:formula1>
            <xm:f>Referencias!$A$2:$A$9</xm:f>
          </x14:formula1>
          <xm:sqref>B3:B14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2:E8"/>
  <sheetViews>
    <sheetView showGridLines="0" workbookViewId="0">
      <selection activeCell="D2" sqref="D2"/>
    </sheetView>
  </sheetViews>
  <sheetFormatPr defaultRowHeight="14.25" x14ac:dyDescent="0.2"/>
  <cols>
    <col min="2" max="2" width="17.125" customWidth="1"/>
    <col min="4" max="4" width="15.75" customWidth="1"/>
  </cols>
  <sheetData>
    <row r="2" spans="2:5" x14ac:dyDescent="0.2">
      <c r="B2" t="s">
        <v>30</v>
      </c>
      <c r="C2" t="s">
        <v>24</v>
      </c>
      <c r="D2" s="9" t="e">
        <f>#REF!+#REF!+#REF!</f>
        <v>#REF!</v>
      </c>
      <c r="E2" t="s">
        <v>35</v>
      </c>
    </row>
    <row r="3" spans="2:5" x14ac:dyDescent="0.2">
      <c r="B3" t="s">
        <v>31</v>
      </c>
      <c r="C3" t="s">
        <v>27</v>
      </c>
      <c r="D3" s="9" t="e">
        <f>#REF!</f>
        <v>#REF!</v>
      </c>
    </row>
    <row r="4" spans="2:5" x14ac:dyDescent="0.2">
      <c r="B4" t="s">
        <v>32</v>
      </c>
      <c r="C4" t="s">
        <v>28</v>
      </c>
      <c r="D4" s="9" t="e">
        <f>#REF!+#REF!+#REF!+#REF!+#REF!+#REF!+#REF!+#REF!</f>
        <v>#REF!</v>
      </c>
      <c r="E4" t="s">
        <v>36</v>
      </c>
    </row>
    <row r="5" spans="2:5" x14ac:dyDescent="0.2">
      <c r="B5" t="s">
        <v>25</v>
      </c>
      <c r="D5" s="9">
        <v>500000</v>
      </c>
    </row>
    <row r="6" spans="2:5" x14ac:dyDescent="0.2">
      <c r="B6" t="s">
        <v>33</v>
      </c>
      <c r="D6" s="9" t="e">
        <f>#REF!</f>
        <v>#REF!</v>
      </c>
    </row>
    <row r="7" spans="2:5" x14ac:dyDescent="0.2">
      <c r="B7" t="s">
        <v>34</v>
      </c>
      <c r="D7" s="9" t="e">
        <f>#REF!</f>
        <v>#REF!</v>
      </c>
    </row>
    <row r="8" spans="2:5" x14ac:dyDescent="0.2">
      <c r="B8" t="s">
        <v>10</v>
      </c>
      <c r="D8" s="10" t="e">
        <f>SUM(D2:D7)</f>
        <v>#REF!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0be1033-61d5-46ad-ae3a-53f0d5f2e6d6">XYRVYRS7NR3H-414051584-592953</_dlc_DocId>
    <_dlc_DocIdUrl xmlns="90be1033-61d5-46ad-ae3a-53f0d5f2e6d6">
      <Url>https://contatofortesec.sharepoint.com/sites/Gestao/_layouts/15/DocIdRedir.aspx?ID=XYRVYRS7NR3H-414051584-592953</Url>
      <Description>XYRVYRS7NR3H-414051584-592953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2565C418707D4AA9D5B20100C39FAD" ma:contentTypeVersion="13" ma:contentTypeDescription="Crie um novo documento." ma:contentTypeScope="" ma:versionID="57b720f961935729ee5bfb3f7b3b745e">
  <xsd:schema xmlns:xsd="http://www.w3.org/2001/XMLSchema" xmlns:xs="http://www.w3.org/2001/XMLSchema" xmlns:p="http://schemas.microsoft.com/office/2006/metadata/properties" xmlns:ns2="90be1033-61d5-46ad-ae3a-53f0d5f2e6d6" xmlns:ns3="bb6cd9ea-a165-46c7-8046-7d231703d635" targetNamespace="http://schemas.microsoft.com/office/2006/metadata/properties" ma:root="true" ma:fieldsID="3e4c59b9b2339eeb247f9c7769569ba7" ns2:_="" ns3:_="">
    <xsd:import namespace="90be1033-61d5-46ad-ae3a-53f0d5f2e6d6"/>
    <xsd:import namespace="bb6cd9ea-a165-46c7-8046-7d231703d63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e1033-61d5-46ad-ae3a-53f0d5f2e6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d9ea-a165-46c7-8046-7d231703d6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5B18B-EF3B-4C41-9FB9-227E49DE4AA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0BDFCA5-546C-4D0A-B09B-BC0D0D67D6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sharepoint/v3"/>
    <ds:schemaRef ds:uri="9dee0a48-fc0c-418b-95fb-08cb8e59e960"/>
    <ds:schemaRef ds:uri="90be1033-61d5-46ad-ae3a-53f0d5f2e6d6"/>
  </ds:schemaRefs>
</ds:datastoreItem>
</file>

<file path=customXml/itemProps3.xml><?xml version="1.0" encoding="utf-8"?>
<ds:datastoreItem xmlns:ds="http://schemas.openxmlformats.org/officeDocument/2006/customXml" ds:itemID="{061F3CD7-2541-49A0-ADAC-76803BBC66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7B65BE-C50F-46F8-9895-FA252F246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be1033-61d5-46ad-ae3a-53f0d5f2e6d6"/>
    <ds:schemaRef ds:uri="bb6cd9ea-a165-46c7-8046-7d231703d6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Gross Up</vt:lpstr>
      <vt:lpstr>Relatório Liquidação</vt:lpstr>
      <vt:lpstr>Referencias</vt:lpstr>
      <vt:lpstr>Originador</vt:lpstr>
      <vt:lpstr>Resumo</vt:lpstr>
      <vt:lpstr>'Relatório Liquidação'!Print_Area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 Takaishi</dc:creator>
  <cp:lastModifiedBy>Nina Hansen</cp:lastModifiedBy>
  <cp:lastPrinted>2019-09-16T20:16:50Z</cp:lastPrinted>
  <dcterms:created xsi:type="dcterms:W3CDTF">2013-08-13T00:12:15Z</dcterms:created>
  <dcterms:modified xsi:type="dcterms:W3CDTF">2022-02-16T13:19:28Z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0x010100252565C418707D4AA9D5B20100C39FAD</vt:lpwstr>
  </property>
  <property fmtid="{D5CDD505-2E9C-101B-9397-08002B2CF9AE}" pid="3" name="Order">
    <vt:r8>3417800</vt:r8>
  </property>
  <property fmtid="{D5CDD505-2E9C-101B-9397-08002B2CF9AE}" pid="4" name="_dlc_DocIdItemGuid">
    <vt:lpwstr>f31da3b4-1203-49c8-af91-414e701501ff</vt:lpwstr>
  </property>
</Properties>
</file>