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contatofortesec.sharepoint.com/sites/Gestao/Documentos/CRI/CRI_S311_334_BuonaVitta/2_Estruturacao/7_Liquidacao/3_Mapa_de_Liquidacao/"/>
    </mc:Choice>
  </mc:AlternateContent>
  <xr:revisionPtr revIDLastSave="685" documentId="13_ncr:1_{41E1B9FE-F965-428B-9D85-A71BE061DFBB}" xr6:coauthVersionLast="46" xr6:coauthVersionMax="46" xr10:uidLastSave="{C25A1AB3-034D-4D88-B2BB-4FBCFAA1F488}"/>
  <bookViews>
    <workbookView minimized="1" xWindow="29820" yWindow="2295" windowWidth="15375" windowHeight="7965" xr2:uid="{3A078E6E-694E-4EE8-AB0E-F17D354DC920}"/>
  </bookViews>
  <sheets>
    <sheet name="Relatório Liquidação" sheetId="2" r:id="rId1"/>
  </sheets>
  <externalReferences>
    <externalReference r:id="rId2"/>
  </externalReferences>
  <definedNames>
    <definedName name="_xlnm._FilterDatabase" localSheetId="0" hidden="1">'Relatório Liquidação'!$B$8:$T$503</definedName>
    <definedName name="Feriados" localSheetId="0">#REF!</definedName>
    <definedName name="Feriados">#REF!</definedName>
    <definedName name="_xlnm.Print_Area" localSheetId="0">'Relatório Liquidação'!$B$2:$U$106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06" i="2" l="1"/>
  <c r="S492" i="2"/>
  <c r="S491" i="2"/>
  <c r="S478" i="2"/>
  <c r="S477" i="2"/>
  <c r="S476" i="2"/>
  <c r="S475" i="2"/>
  <c r="S474" i="2"/>
  <c r="S462" i="2"/>
  <c r="S461" i="2"/>
  <c r="S460" i="2"/>
  <c r="S459" i="2"/>
  <c r="S445" i="2"/>
  <c r="S446" i="2"/>
  <c r="S447" i="2"/>
  <c r="S444" i="2"/>
  <c r="V406" i="2"/>
  <c r="S432" i="2"/>
  <c r="S433" i="2" s="1"/>
  <c r="S493" i="2" l="1"/>
  <c r="S479" i="2"/>
  <c r="N480" i="2" s="1"/>
  <c r="S463" i="2"/>
  <c r="N466" i="2" s="1"/>
  <c r="P466" i="2" s="1"/>
  <c r="S448" i="2"/>
  <c r="N451" i="2" s="1"/>
  <c r="P451" i="2" s="1"/>
  <c r="N434" i="2"/>
  <c r="P434" i="2" s="1"/>
  <c r="N436" i="2"/>
  <c r="P436" i="2" s="1"/>
  <c r="N435" i="2"/>
  <c r="P437" i="2"/>
  <c r="N482" i="2" l="1"/>
  <c r="P467" i="2"/>
  <c r="P483" i="2"/>
  <c r="S483" i="2" s="1"/>
  <c r="N481" i="2"/>
  <c r="P481" i="2" s="1"/>
  <c r="S481" i="2" s="1"/>
  <c r="P497" i="2"/>
  <c r="S497" i="2" s="1"/>
  <c r="N496" i="2"/>
  <c r="P496" i="2" s="1"/>
  <c r="R496" i="2" s="1"/>
  <c r="N495" i="2"/>
  <c r="P495" i="2" s="1"/>
  <c r="R495" i="2" s="1"/>
  <c r="N494" i="2"/>
  <c r="P494" i="2" s="1"/>
  <c r="S494" i="2" s="1"/>
  <c r="N464" i="2"/>
  <c r="P464" i="2" s="1"/>
  <c r="S464" i="2" s="1"/>
  <c r="S496" i="2"/>
  <c r="N450" i="2"/>
  <c r="N465" i="2"/>
  <c r="P480" i="2"/>
  <c r="S480" i="2" s="1"/>
  <c r="P482" i="2"/>
  <c r="R482" i="2" s="1"/>
  <c r="P452" i="2"/>
  <c r="P450" i="2" s="1"/>
  <c r="R450" i="2" s="1"/>
  <c r="P435" i="2"/>
  <c r="R435" i="2" s="1"/>
  <c r="N449" i="2"/>
  <c r="P449" i="2" s="1"/>
  <c r="R449" i="2" s="1"/>
  <c r="R466" i="2"/>
  <c r="S466" i="2"/>
  <c r="R451" i="2"/>
  <c r="S451" i="2"/>
  <c r="S436" i="2"/>
  <c r="R436" i="2"/>
  <c r="S434" i="2"/>
  <c r="R434" i="2"/>
  <c r="R437" i="2"/>
  <c r="S440" i="2" s="1"/>
  <c r="S437" i="2"/>
  <c r="R494" i="2" l="1"/>
  <c r="R483" i="2"/>
  <c r="S486" i="2" s="1"/>
  <c r="P465" i="2"/>
  <c r="R465" i="2" s="1"/>
  <c r="R467" i="2"/>
  <c r="S470" i="2" s="1"/>
  <c r="R464" i="2"/>
  <c r="S467" i="2"/>
  <c r="S499" i="2"/>
  <c r="R497" i="2"/>
  <c r="S500" i="2" s="1"/>
  <c r="S495" i="2"/>
  <c r="R480" i="2"/>
  <c r="S449" i="2"/>
  <c r="S465" i="2"/>
  <c r="R452" i="2"/>
  <c r="S455" i="2" s="1"/>
  <c r="S452" i="2"/>
  <c r="S482" i="2"/>
  <c r="R481" i="2"/>
  <c r="S435" i="2"/>
  <c r="S454" i="2"/>
  <c r="S450" i="2"/>
  <c r="S439" i="2"/>
  <c r="S438" i="2" s="1"/>
  <c r="S441" i="2" l="1"/>
  <c r="S469" i="2"/>
  <c r="S468" i="2" s="1"/>
  <c r="S485" i="2"/>
  <c r="S498" i="2"/>
  <c r="S501" i="2" s="1"/>
  <c r="S453" i="2"/>
  <c r="S456" i="2" s="1"/>
  <c r="S471" i="2"/>
  <c r="S484" i="2"/>
  <c r="S487" i="2" s="1"/>
  <c r="S420" i="2"/>
  <c r="S421" i="2" s="1"/>
  <c r="S408" i="2"/>
  <c r="S409" i="2" s="1"/>
  <c r="N412" i="2" s="1"/>
  <c r="N424" i="2" l="1"/>
  <c r="P424" i="2" s="1"/>
  <c r="N423" i="2"/>
  <c r="N422" i="2"/>
  <c r="P422" i="2" s="1"/>
  <c r="P425" i="2"/>
  <c r="N411" i="2"/>
  <c r="N410" i="2"/>
  <c r="P410" i="2" s="1"/>
  <c r="P412" i="2"/>
  <c r="P413" i="2"/>
  <c r="S396" i="2"/>
  <c r="S397" i="2" s="1"/>
  <c r="N400" i="2" s="1"/>
  <c r="S384" i="2"/>
  <c r="S383" i="2"/>
  <c r="S385" i="2" l="1"/>
  <c r="P389" i="2" s="1"/>
  <c r="R422" i="2"/>
  <c r="S422" i="2"/>
  <c r="S425" i="2"/>
  <c r="R425" i="2"/>
  <c r="S428" i="2" s="1"/>
  <c r="R424" i="2"/>
  <c r="S424" i="2"/>
  <c r="P423" i="2"/>
  <c r="P411" i="2"/>
  <c r="R411" i="2" s="1"/>
  <c r="R412" i="2"/>
  <c r="S412" i="2"/>
  <c r="R410" i="2"/>
  <c r="S410" i="2"/>
  <c r="S413" i="2"/>
  <c r="R413" i="2"/>
  <c r="S416" i="2" s="1"/>
  <c r="N399" i="2"/>
  <c r="P401" i="2"/>
  <c r="N398" i="2"/>
  <c r="P398" i="2" s="1"/>
  <c r="P400" i="2"/>
  <c r="N386" i="2"/>
  <c r="P386" i="2" s="1"/>
  <c r="R386" i="2" s="1"/>
  <c r="N387" i="2" l="1"/>
  <c r="N388" i="2"/>
  <c r="P388" i="2" s="1"/>
  <c r="R388" i="2" s="1"/>
  <c r="S411" i="2"/>
  <c r="P399" i="2"/>
  <c r="S399" i="2" s="1"/>
  <c r="R423" i="2"/>
  <c r="S427" i="2" s="1"/>
  <c r="S426" i="2" s="1"/>
  <c r="S423" i="2"/>
  <c r="S415" i="2"/>
  <c r="S414" i="2" s="1"/>
  <c r="S398" i="2"/>
  <c r="R398" i="2"/>
  <c r="S400" i="2"/>
  <c r="R400" i="2"/>
  <c r="S401" i="2"/>
  <c r="R401" i="2"/>
  <c r="S404" i="2" s="1"/>
  <c r="S371" i="2"/>
  <c r="S372" i="2" s="1"/>
  <c r="N375" i="2" s="1"/>
  <c r="P375" i="2" s="1"/>
  <c r="R375" i="2" s="1"/>
  <c r="S417" i="2" l="1"/>
  <c r="S429" i="2"/>
  <c r="R399" i="2"/>
  <c r="S403" i="2"/>
  <c r="S402" i="2" s="1"/>
  <c r="S405" i="2" s="1"/>
  <c r="R389" i="2"/>
  <c r="S392" i="2" s="1"/>
  <c r="P387" i="2"/>
  <c r="R387" i="2" s="1"/>
  <c r="S391" i="2" s="1"/>
  <c r="S388" i="2"/>
  <c r="S386" i="2"/>
  <c r="S389" i="2"/>
  <c r="N374" i="2"/>
  <c r="P376" i="2"/>
  <c r="R376" i="2" s="1"/>
  <c r="N373" i="2"/>
  <c r="P373" i="2" s="1"/>
  <c r="R373" i="2" s="1"/>
  <c r="S369" i="2"/>
  <c r="S355" i="2"/>
  <c r="S387" i="2" l="1"/>
  <c r="S390" i="2"/>
  <c r="S393" i="2" s="1"/>
  <c r="P374" i="2"/>
  <c r="R374" i="2" s="1"/>
  <c r="S379" i="2"/>
  <c r="S376" i="2"/>
  <c r="S373" i="2"/>
  <c r="S375" i="2"/>
  <c r="S359" i="2"/>
  <c r="S360" i="2" s="1"/>
  <c r="S374" i="2" l="1"/>
  <c r="S378" i="2"/>
  <c r="S377" i="2" s="1"/>
  <c r="S380" i="2" s="1"/>
  <c r="N363" i="2"/>
  <c r="P363" i="2" s="1"/>
  <c r="N362" i="2"/>
  <c r="N361" i="2"/>
  <c r="P361" i="2" s="1"/>
  <c r="P364" i="2"/>
  <c r="P362" i="2" l="1"/>
  <c r="S362" i="2" s="1"/>
  <c r="S363" i="2"/>
  <c r="R363" i="2"/>
  <c r="R364" i="2"/>
  <c r="S367" i="2" s="1"/>
  <c r="S364" i="2"/>
  <c r="S361" i="2"/>
  <c r="R361" i="2"/>
  <c r="S343" i="2"/>
  <c r="S345" i="2"/>
  <c r="S344" i="2"/>
  <c r="R362" i="2" l="1"/>
  <c r="S366" i="2"/>
  <c r="S365" i="2" s="1"/>
  <c r="S368" i="2" s="1"/>
  <c r="S346" i="2"/>
  <c r="S329" i="2"/>
  <c r="S328" i="2"/>
  <c r="S327" i="2"/>
  <c r="S326" i="2"/>
  <c r="S325" i="2"/>
  <c r="P350" i="2" l="1"/>
  <c r="S350" i="2" s="1"/>
  <c r="N349" i="2"/>
  <c r="P349" i="2" s="1"/>
  <c r="N348" i="2"/>
  <c r="N347" i="2"/>
  <c r="P347" i="2" s="1"/>
  <c r="R347" i="2" s="1"/>
  <c r="S330" i="2"/>
  <c r="P334" i="2" s="1"/>
  <c r="R350" i="2" l="1"/>
  <c r="S353" i="2" s="1"/>
  <c r="P348" i="2"/>
  <c r="S348" i="2" s="1"/>
  <c r="S347" i="2"/>
  <c r="R349" i="2"/>
  <c r="S349" i="2"/>
  <c r="N331" i="2"/>
  <c r="P331" i="2" s="1"/>
  <c r="S331" i="2" s="1"/>
  <c r="N332" i="2"/>
  <c r="P332" i="2" s="1"/>
  <c r="N333" i="2"/>
  <c r="P333" i="2" s="1"/>
  <c r="S333" i="2" s="1"/>
  <c r="S334" i="2"/>
  <c r="R334" i="2"/>
  <c r="S337" i="2" s="1"/>
  <c r="R348" i="2" l="1"/>
  <c r="S352" i="2"/>
  <c r="S351" i="2" s="1"/>
  <c r="S354" i="2" s="1"/>
  <c r="S356" i="2" s="1"/>
  <c r="R331" i="2"/>
  <c r="R333" i="2"/>
  <c r="S332" i="2"/>
  <c r="R332" i="2"/>
  <c r="S311" i="2"/>
  <c r="S336" i="2" l="1"/>
  <c r="S335" i="2" s="1"/>
  <c r="S310" i="2"/>
  <c r="S309" i="2"/>
  <c r="S308" i="2"/>
  <c r="S307" i="2"/>
  <c r="S338" i="2" l="1"/>
  <c r="S340" i="2" s="1"/>
  <c r="S312" i="2"/>
  <c r="S289" i="2"/>
  <c r="S290" i="2"/>
  <c r="S291" i="2"/>
  <c r="S292" i="2"/>
  <c r="S293" i="2"/>
  <c r="S288" i="2"/>
  <c r="N315" i="2" l="1"/>
  <c r="P315" i="2" s="1"/>
  <c r="S315" i="2" s="1"/>
  <c r="P316" i="2"/>
  <c r="S316" i="2" s="1"/>
  <c r="N313" i="2"/>
  <c r="P313" i="2" s="1"/>
  <c r="R313" i="2" s="1"/>
  <c r="N314" i="2"/>
  <c r="S294" i="2"/>
  <c r="N296" i="2" s="1"/>
  <c r="S273" i="2"/>
  <c r="S274" i="2"/>
  <c r="S272" i="2"/>
  <c r="P314" i="2" l="1"/>
  <c r="R314" i="2" s="1"/>
  <c r="R316" i="2"/>
  <c r="S319" i="2" s="1"/>
  <c r="N297" i="2"/>
  <c r="P297" i="2" s="1"/>
  <c r="S297" i="2" s="1"/>
  <c r="N295" i="2"/>
  <c r="P295" i="2" s="1"/>
  <c r="R295" i="2" s="1"/>
  <c r="S313" i="2"/>
  <c r="R315" i="2"/>
  <c r="S275" i="2"/>
  <c r="P279" i="2" s="1"/>
  <c r="R279" i="2" s="1"/>
  <c r="S282" i="2" s="1"/>
  <c r="P298" i="2"/>
  <c r="S298" i="2" s="1"/>
  <c r="S268" i="2"/>
  <c r="S258" i="2"/>
  <c r="S257" i="2"/>
  <c r="S254" i="2"/>
  <c r="S244" i="2"/>
  <c r="S243" i="2"/>
  <c r="S314" i="2" l="1"/>
  <c r="S318" i="2"/>
  <c r="S317" i="2" s="1"/>
  <c r="S295" i="2"/>
  <c r="N276" i="2"/>
  <c r="P276" i="2" s="1"/>
  <c r="N277" i="2"/>
  <c r="P277" i="2" s="1"/>
  <c r="R277" i="2" s="1"/>
  <c r="N278" i="2"/>
  <c r="P278" i="2" s="1"/>
  <c r="R278" i="2" s="1"/>
  <c r="R298" i="2"/>
  <c r="S301" i="2" s="1"/>
  <c r="P296" i="2"/>
  <c r="R296" i="2" s="1"/>
  <c r="R297" i="2"/>
  <c r="S259" i="2"/>
  <c r="N260" i="2" s="1"/>
  <c r="P260" i="2" s="1"/>
  <c r="S245" i="2"/>
  <c r="N246" i="2" s="1"/>
  <c r="P246" i="2" s="1"/>
  <c r="S279" i="2"/>
  <c r="S320" i="2" l="1"/>
  <c r="S322" i="2" s="1"/>
  <c r="P249" i="2"/>
  <c r="S249" i="2" s="1"/>
  <c r="N247" i="2"/>
  <c r="S296" i="2"/>
  <c r="N261" i="2"/>
  <c r="S300" i="2"/>
  <c r="S299" i="2" s="1"/>
  <c r="N262" i="2"/>
  <c r="P262" i="2" s="1"/>
  <c r="R262" i="2" s="1"/>
  <c r="P263" i="2"/>
  <c r="S263" i="2" s="1"/>
  <c r="N248" i="2"/>
  <c r="P248" i="2" s="1"/>
  <c r="S248" i="2" s="1"/>
  <c r="S276" i="2"/>
  <c r="R276" i="2"/>
  <c r="S281" i="2" s="1"/>
  <c r="S280" i="2" s="1"/>
  <c r="S278" i="2"/>
  <c r="S277" i="2"/>
  <c r="R246" i="2"/>
  <c r="S246" i="2"/>
  <c r="S260" i="2"/>
  <c r="R260" i="2"/>
  <c r="R249" i="2" l="1"/>
  <c r="S252" i="2" s="1"/>
  <c r="P261" i="2"/>
  <c r="S261" i="2" s="1"/>
  <c r="R263" i="2"/>
  <c r="S266" i="2" s="1"/>
  <c r="S262" i="2"/>
  <c r="S302" i="2"/>
  <c r="S304" i="2" s="1"/>
  <c r="P247" i="2"/>
  <c r="S247" i="2" s="1"/>
  <c r="R248" i="2"/>
  <c r="S283" i="2"/>
  <c r="S285" i="2" s="1"/>
  <c r="R247" i="2" l="1" a="1"/>
  <c r="R247" i="2" s="1"/>
  <c r="S251" i="2" s="1"/>
  <c r="S250" i="2" s="1"/>
  <c r="S253" i="2" s="1"/>
  <c r="S256" i="2" s="1"/>
  <c r="R261" i="2" a="1"/>
  <c r="R261" i="2" s="1"/>
  <c r="S265" i="2" s="1"/>
  <c r="S264" i="2" s="1"/>
  <c r="S267" i="2" s="1"/>
  <c r="S269" i="2" s="1"/>
  <c r="V240" i="2" l="1"/>
  <c r="S239" i="2" l="1"/>
  <c r="S229" i="2" l="1"/>
  <c r="S230" i="2"/>
  <c r="S228" i="2"/>
  <c r="S231" i="2" l="1"/>
  <c r="V239" i="2" s="1"/>
  <c r="S224" i="2"/>
  <c r="S215" i="2"/>
  <c r="S214" i="2"/>
  <c r="P235" i="2" l="1"/>
  <c r="S235" i="2" s="1"/>
  <c r="S216" i="2"/>
  <c r="N218" i="2" s="1"/>
  <c r="N234" i="2"/>
  <c r="P234" i="2" s="1"/>
  <c r="S234" i="2" s="1"/>
  <c r="N232" i="2"/>
  <c r="P232" i="2" s="1"/>
  <c r="S232" i="2" s="1"/>
  <c r="N233" i="2"/>
  <c r="P233" i="2" s="1"/>
  <c r="S210" i="2"/>
  <c r="P220" i="2" l="1"/>
  <c r="R220" i="2" s="1"/>
  <c r="S223" i="2" s="1"/>
  <c r="N219" i="2"/>
  <c r="P219" i="2" s="1"/>
  <c r="S219" i="2" s="1"/>
  <c r="N217" i="2"/>
  <c r="P217" i="2" s="1"/>
  <c r="S217" i="2" s="1"/>
  <c r="R235" i="2"/>
  <c r="S238" i="2" s="1"/>
  <c r="R232" i="2"/>
  <c r="R234" i="2"/>
  <c r="S233" i="2"/>
  <c r="R233" i="2" a="1"/>
  <c r="R233" i="2" s="1"/>
  <c r="P218" i="2"/>
  <c r="S218" i="2" s="1"/>
  <c r="S201" i="2"/>
  <c r="S200" i="2"/>
  <c r="S220" i="2" l="1"/>
  <c r="R219" i="2"/>
  <c r="R217" i="2"/>
  <c r="S237" i="2"/>
  <c r="S236" i="2" s="1"/>
  <c r="S240" i="2" s="1"/>
  <c r="S241" i="2" s="1"/>
  <c r="R218" i="2" a="1"/>
  <c r="R218" i="2" s="1"/>
  <c r="S202" i="2"/>
  <c r="N203" i="2" s="1"/>
  <c r="P203" i="2" s="1"/>
  <c r="S187" i="2"/>
  <c r="S188" i="2" s="1"/>
  <c r="S222" i="2" l="1"/>
  <c r="S221" i="2" s="1"/>
  <c r="S225" i="2" s="1"/>
  <c r="S226" i="2" s="1"/>
  <c r="P206" i="2"/>
  <c r="R206" i="2" s="1"/>
  <c r="S209" i="2" s="1"/>
  <c r="N204" i="2"/>
  <c r="N205" i="2"/>
  <c r="P205" i="2" s="1"/>
  <c r="S205" i="2" s="1"/>
  <c r="R203" i="2"/>
  <c r="S203" i="2"/>
  <c r="N189" i="2"/>
  <c r="P189" i="2" s="1"/>
  <c r="N191" i="2"/>
  <c r="P191" i="2" s="1"/>
  <c r="N190" i="2"/>
  <c r="P192" i="2"/>
  <c r="S174" i="2"/>
  <c r="S175" i="2" s="1"/>
  <c r="P204" i="2" l="1"/>
  <c r="S204" i="2" s="1"/>
  <c r="S206" i="2"/>
  <c r="R205" i="2"/>
  <c r="P190" i="2"/>
  <c r="R192" i="2"/>
  <c r="S195" i="2" s="1"/>
  <c r="S192" i="2"/>
  <c r="R189" i="2"/>
  <c r="S189" i="2"/>
  <c r="S191" i="2"/>
  <c r="R191" i="2"/>
  <c r="N177" i="2"/>
  <c r="N178" i="2"/>
  <c r="P178" i="2" s="1"/>
  <c r="N176" i="2"/>
  <c r="P176" i="2" s="1"/>
  <c r="P179" i="2"/>
  <c r="R204" i="2" l="1" a="1"/>
  <c r="R204" i="2" s="1"/>
  <c r="S208" i="2" s="1"/>
  <c r="S207" i="2" s="1"/>
  <c r="S211" i="2" s="1"/>
  <c r="S212" i="2" s="1"/>
  <c r="S190" i="2"/>
  <c r="R190" i="2" a="1"/>
  <c r="R190" i="2" s="1"/>
  <c r="S179" i="2"/>
  <c r="R179" i="2"/>
  <c r="S182" i="2" s="1"/>
  <c r="R176" i="2"/>
  <c r="S176" i="2"/>
  <c r="P177" i="2"/>
  <c r="S178" i="2"/>
  <c r="R178" i="2"/>
  <c r="F161" i="2"/>
  <c r="S161" i="2" s="1"/>
  <c r="S162" i="2" s="1"/>
  <c r="S194" i="2" l="1"/>
  <c r="S193" i="2" s="1"/>
  <c r="S197" i="2" s="1"/>
  <c r="S198" i="2" s="1"/>
  <c r="P166" i="2"/>
  <c r="R166" i="2" s="1"/>
  <c r="S169" i="2" s="1"/>
  <c r="N164" i="2"/>
  <c r="N163" i="2"/>
  <c r="P163" i="2" s="1"/>
  <c r="N165" i="2"/>
  <c r="P165" i="2" s="1"/>
  <c r="S177" i="2"/>
  <c r="R177" i="2" a="1"/>
  <c r="R177" i="2" s="1"/>
  <c r="S181" i="2" s="1"/>
  <c r="S180" i="2" s="1"/>
  <c r="S148" i="2"/>
  <c r="S149" i="2" s="1"/>
  <c r="N150" i="2" s="1"/>
  <c r="P150" i="2" s="1"/>
  <c r="S184" i="2" l="1"/>
  <c r="S185" i="2" s="1"/>
  <c r="P153" i="2"/>
  <c r="S166" i="2"/>
  <c r="P164" i="2"/>
  <c r="R163" i="2"/>
  <c r="S163" i="2"/>
  <c r="S165" i="2"/>
  <c r="R165" i="2"/>
  <c r="N152" i="2"/>
  <c r="P152" i="2" s="1"/>
  <c r="N151" i="2"/>
  <c r="P151" i="2" s="1"/>
  <c r="S164" i="2" l="1"/>
  <c r="R164" i="2" a="1"/>
  <c r="R164" i="2" s="1"/>
  <c r="S150" i="2"/>
  <c r="R150" i="2"/>
  <c r="R152" i="2"/>
  <c r="S152" i="2"/>
  <c r="S153" i="2"/>
  <c r="R153" i="2"/>
  <c r="S156" i="2" s="1"/>
  <c r="S151" i="2"/>
  <c r="R151" i="2" a="1"/>
  <c r="R151" i="2" s="1"/>
  <c r="S144" i="2"/>
  <c r="S135" i="2"/>
  <c r="S134" i="2"/>
  <c r="S168" i="2" l="1"/>
  <c r="S167" i="2" s="1"/>
  <c r="S155" i="2"/>
  <c r="S154" i="2" s="1"/>
  <c r="S158" i="2" s="1"/>
  <c r="S159" i="2" s="1"/>
  <c r="S136" i="2"/>
  <c r="N139" i="2" s="1"/>
  <c r="P139" i="2" s="1"/>
  <c r="S121" i="2"/>
  <c r="S122" i="2" s="1"/>
  <c r="S171" i="2" l="1"/>
  <c r="S172" i="2" s="1"/>
  <c r="P140" i="2"/>
  <c r="S140" i="2" s="1"/>
  <c r="N138" i="2"/>
  <c r="N137" i="2"/>
  <c r="P137" i="2" s="1"/>
  <c r="R137" i="2" s="1"/>
  <c r="R139" i="2"/>
  <c r="S139" i="2"/>
  <c r="N124" i="2"/>
  <c r="N125" i="2"/>
  <c r="P125" i="2" s="1"/>
  <c r="N123" i="2" a="1"/>
  <c r="N123" i="2" s="1"/>
  <c r="P123" i="2" s="1" a="1"/>
  <c r="P123" i="2" s="1"/>
  <c r="P126" i="2"/>
  <c r="AB4" i="2"/>
  <c r="S108" i="2"/>
  <c r="P138" i="2" l="1"/>
  <c r="R138" i="2" s="1" a="1"/>
  <c r="R140" i="2"/>
  <c r="S143" i="2" s="1"/>
  <c r="S137" i="2"/>
  <c r="S123" i="2"/>
  <c r="R123" i="2"/>
  <c r="S125" i="2"/>
  <c r="R125" i="2"/>
  <c r="S126" i="2"/>
  <c r="R126" i="2"/>
  <c r="S129" i="2" s="1" a="1"/>
  <c r="S129" i="2" s="1"/>
  <c r="P124" i="2"/>
  <c r="S109" i="2"/>
  <c r="P113" i="2" s="1"/>
  <c r="S81" i="2"/>
  <c r="S82" i="2" s="1"/>
  <c r="S138" i="2" l="1"/>
  <c r="R138" i="2"/>
  <c r="S142" i="2" s="1"/>
  <c r="S141" i="2" s="1"/>
  <c r="N111" i="2"/>
  <c r="P111" i="2" s="1"/>
  <c r="S124" i="2"/>
  <c r="R124" i="2" a="1"/>
  <c r="R124" i="2" s="1"/>
  <c r="S128" i="2" s="1" a="1"/>
  <c r="N112" i="2"/>
  <c r="P112" i="2" s="1"/>
  <c r="S112" i="2" s="1"/>
  <c r="N110" i="2" a="1"/>
  <c r="N110" i="2" s="1"/>
  <c r="P110" i="2" s="1" a="1"/>
  <c r="P110" i="2" s="1"/>
  <c r="S110" i="2" s="1"/>
  <c r="R113" i="2"/>
  <c r="S116" i="2" s="1" a="1"/>
  <c r="S116" i="2" s="1"/>
  <c r="S113" i="2"/>
  <c r="N84" i="2"/>
  <c r="N85" i="2"/>
  <c r="P85" i="2" s="1"/>
  <c r="P86" i="2"/>
  <c r="N83" i="2" a="1"/>
  <c r="N83" i="2" s="1"/>
  <c r="P83" i="2" s="1" a="1"/>
  <c r="P83" i="2" s="1"/>
  <c r="S145" i="2" l="1"/>
  <c r="S146" i="2" s="1"/>
  <c r="R112" i="2"/>
  <c r="S128" i="2"/>
  <c r="S127" i="2" s="1"/>
  <c r="S131" i="2" s="1"/>
  <c r="S132" i="2" s="1"/>
  <c r="R110" i="2"/>
  <c r="R111" i="2" a="1"/>
  <c r="R111" i="2" s="1"/>
  <c r="S111" i="2"/>
  <c r="R85" i="2"/>
  <c r="S85" i="2"/>
  <c r="R83" i="2"/>
  <c r="S83" i="2"/>
  <c r="P84" i="2"/>
  <c r="R86" i="2"/>
  <c r="S89" i="2" s="1" a="1"/>
  <c r="S89" i="2" s="1"/>
  <c r="S86" i="2"/>
  <c r="S115" i="2" l="1" a="1"/>
  <c r="S115" i="2" s="1"/>
  <c r="S114" i="2" s="1"/>
  <c r="S118" i="2" s="1"/>
  <c r="S119" i="2" s="1"/>
  <c r="R84" i="2" a="1"/>
  <c r="R84" i="2" s="1"/>
  <c r="S88" i="2" s="1" a="1"/>
  <c r="S88" i="2" s="1"/>
  <c r="S87" i="2" s="1"/>
  <c r="S84" i="2"/>
  <c r="S95" i="2"/>
  <c r="S91" i="2" l="1"/>
  <c r="S94" i="2"/>
  <c r="S96" i="2" s="1"/>
  <c r="S92" i="2" l="1"/>
  <c r="N97" i="2" a="1"/>
  <c r="N97" i="2" s="1"/>
  <c r="P97" i="2" s="1" a="1"/>
  <c r="P97" i="2" s="1"/>
  <c r="N99" i="2"/>
  <c r="P99" i="2" s="1"/>
  <c r="P100" i="2"/>
  <c r="N98" i="2"/>
  <c r="S68" i="2"/>
  <c r="P98" i="2" l="1"/>
  <c r="R98" i="2" s="1" a="1"/>
  <c r="R98" i="2" s="1"/>
  <c r="S99" i="2"/>
  <c r="R99" i="2"/>
  <c r="R97" i="2"/>
  <c r="S97" i="2"/>
  <c r="R100" i="2"/>
  <c r="S103" i="2" s="1" a="1"/>
  <c r="S103" i="2" s="1"/>
  <c r="S100" i="2"/>
  <c r="S69" i="2"/>
  <c r="N70" i="2" s="1" a="1"/>
  <c r="S98" i="2" l="1"/>
  <c r="S102" i="2" a="1"/>
  <c r="S102" i="2" s="1"/>
  <c r="S101" i="2" s="1"/>
  <c r="P73" i="2"/>
  <c r="N71" i="2"/>
  <c r="N72" i="2"/>
  <c r="P72" i="2" s="1"/>
  <c r="R72" i="2" s="1"/>
  <c r="N70" i="2"/>
  <c r="P70" i="2" s="1" a="1"/>
  <c r="P70" i="2" s="1"/>
  <c r="R70" i="2" s="1"/>
  <c r="S105" i="2" l="1"/>
  <c r="S106" i="2" s="1"/>
  <c r="P71" i="2"/>
  <c r="S71" i="2" s="1"/>
  <c r="S70" i="2"/>
  <c r="S73" i="2"/>
  <c r="R73" i="2"/>
  <c r="S76" i="2" s="1" a="1"/>
  <c r="S76" i="2" s="1"/>
  <c r="S72" i="2"/>
  <c r="R71" i="2" l="1" a="1"/>
  <c r="R71" i="2" s="1"/>
  <c r="S75" i="2" s="1" a="1"/>
  <c r="S75" i="2" s="1"/>
  <c r="S74" i="2" s="1"/>
  <c r="S78" i="2" s="1"/>
  <c r="S54" i="2"/>
  <c r="S53" i="2"/>
  <c r="S52" i="2"/>
  <c r="AA4" i="2" l="1"/>
  <c r="S79" i="2"/>
  <c r="S55" i="2"/>
  <c r="N56" i="2" s="1" a="1"/>
  <c r="N56" i="2" s="1"/>
  <c r="P56" i="2" s="1" a="1"/>
  <c r="P56" i="2" s="1"/>
  <c r="N58" i="2" l="1"/>
  <c r="P58" i="2" s="1"/>
  <c r="S58" i="2" s="1"/>
  <c r="P59" i="2"/>
  <c r="S59" i="2" s="1"/>
  <c r="N57" i="2"/>
  <c r="R56" i="2"/>
  <c r="S56" i="2"/>
  <c r="S30" i="2"/>
  <c r="R58" i="2" l="1"/>
  <c r="R59" i="2" a="1"/>
  <c r="R59" i="2" s="1"/>
  <c r="P57" i="2"/>
  <c r="S57" i="2" s="1"/>
  <c r="S39" i="2"/>
  <c r="R57" i="2" l="1" a="1"/>
  <c r="R57" i="2" s="1"/>
  <c r="S61" i="2" s="1" a="1"/>
  <c r="S61" i="2" s="1"/>
  <c r="S62" i="2" a="1"/>
  <c r="S62" i="2" s="1"/>
  <c r="S40" i="2"/>
  <c r="S60" i="2" l="1"/>
  <c r="S64" i="2" s="1" a="1"/>
  <c r="S64" i="2" s="1"/>
  <c r="S66" i="2" s="1"/>
  <c r="P44" i="2"/>
  <c r="N42" i="2"/>
  <c r="N41" i="2"/>
  <c r="P41" i="2" s="1" a="1"/>
  <c r="P41" i="2" s="1"/>
  <c r="R41" i="2" s="1"/>
  <c r="N43" i="2"/>
  <c r="P43" i="2" s="1"/>
  <c r="P42" i="2" l="1"/>
  <c r="S42" i="2" s="1" a="1"/>
  <c r="S42" i="2" s="1"/>
  <c r="S41" i="2"/>
  <c r="S44" i="2"/>
  <c r="R44" i="2"/>
  <c r="S47" i="2" s="1"/>
  <c r="S43" i="2"/>
  <c r="R43" i="2"/>
  <c r="R42" i="2" l="1" a="1"/>
  <c r="R42" i="2" s="1"/>
  <c r="S46" i="2" s="1"/>
  <c r="S45" i="2" s="1"/>
  <c r="S49" i="2" s="1"/>
  <c r="P14" i="2"/>
  <c r="R14" i="2" s="1"/>
  <c r="S29" i="2" s="1"/>
  <c r="P15" i="2"/>
  <c r="R15" i="2" s="1"/>
  <c r="S31" i="2" s="1"/>
  <c r="P16" i="2"/>
  <c r="R16" i="2" s="1"/>
  <c r="N17" i="2"/>
  <c r="P17" i="2" s="1"/>
  <c r="N18" i="2"/>
  <c r="P18" i="2" s="1"/>
  <c r="P19" i="2" a="1"/>
  <c r="P19" i="2" s="1"/>
  <c r="P20" i="2" a="1"/>
  <c r="P20" i="2" s="1"/>
  <c r="P21" i="2" a="1"/>
  <c r="P21" i="2" s="1"/>
  <c r="R22" i="2"/>
  <c r="R23" i="2"/>
  <c r="R24" i="2"/>
  <c r="R25" i="2"/>
  <c r="S16" i="2" l="1"/>
  <c r="S50" i="2"/>
  <c r="S18" i="2"/>
  <c r="R18" i="2"/>
  <c r="S21" i="2"/>
  <c r="R21" i="2"/>
  <c r="S20" i="2"/>
  <c r="R20" i="2"/>
  <c r="S19" i="2"/>
  <c r="R19" i="2"/>
  <c r="S17" i="2"/>
  <c r="R17" i="2"/>
  <c r="S32" i="2" s="1" a="1"/>
  <c r="S32" i="2" s="1"/>
  <c r="S14" i="2"/>
  <c r="S15" i="2"/>
  <c r="S33" i="2" l="1" a="1"/>
  <c r="S33" i="2" s="1"/>
  <c r="S9" i="2"/>
  <c r="N12" i="2" l="1"/>
  <c r="P12" i="2" s="1"/>
  <c r="N11" i="2"/>
  <c r="P11" i="2" s="1" a="1"/>
  <c r="S10" i="2"/>
  <c r="V10" i="2" s="1"/>
  <c r="N13" i="2" l="1"/>
  <c r="P13" i="2" s="1"/>
  <c r="R13" i="2" s="1"/>
  <c r="Z4" i="2"/>
  <c r="P11" i="2"/>
  <c r="S11" i="2" s="1"/>
  <c r="S12" i="2" a="1"/>
  <c r="S12" i="2" s="1"/>
  <c r="R12" i="2" a="1"/>
  <c r="R12" i="2" s="1"/>
  <c r="S13" i="2" l="1"/>
  <c r="R11" i="2"/>
  <c r="S28" i="2" s="1"/>
  <c r="S27" i="2" s="1"/>
  <c r="S36" i="2" s="1"/>
  <c r="Y4" i="2" l="1"/>
  <c r="V14" i="2"/>
  <c r="V15" i="2" s="1"/>
  <c r="V11" i="2"/>
  <c r="S37" i="2"/>
</calcChain>
</file>

<file path=xl/sharedStrings.xml><?xml version="1.0" encoding="utf-8"?>
<sst xmlns="http://schemas.openxmlformats.org/spreadsheetml/2006/main" count="2268" uniqueCount="115">
  <si>
    <t>Demonstrativo Liquidação</t>
  </si>
  <si>
    <t>Natureza do Pagamento</t>
  </si>
  <si>
    <t>Série</t>
  </si>
  <si>
    <t xml:space="preserve">Data </t>
  </si>
  <si>
    <t>PU
Liquidação</t>
  </si>
  <si>
    <t>Quantidade</t>
  </si>
  <si>
    <t>Lançamento</t>
  </si>
  <si>
    <t>Razão Social</t>
  </si>
  <si>
    <t>CNPJ</t>
  </si>
  <si>
    <t>Número</t>
  </si>
  <si>
    <t>Banco</t>
  </si>
  <si>
    <t>Agência</t>
  </si>
  <si>
    <t>Conta</t>
  </si>
  <si>
    <t>Valor do Serviço</t>
  </si>
  <si>
    <t>Gross-Up</t>
  </si>
  <si>
    <t>Valor Bruto NF</t>
  </si>
  <si>
    <t>Retenção NF</t>
  </si>
  <si>
    <t>Retenção</t>
  </si>
  <si>
    <t>Valor</t>
  </si>
  <si>
    <t>Observação</t>
  </si>
  <si>
    <t>Integralização</t>
  </si>
  <si>
    <t>Total Dia</t>
  </si>
  <si>
    <t>Total Integralização</t>
  </si>
  <si>
    <t>Transferência</t>
  </si>
  <si>
    <t>Fee Estruturação</t>
  </si>
  <si>
    <t>TForte Participação Ltda</t>
  </si>
  <si>
    <t>21.567.223/0001-05</t>
  </si>
  <si>
    <t>Itaú Unibanco S.A.</t>
  </si>
  <si>
    <t>0869-8</t>
  </si>
  <si>
    <t>12663-1</t>
  </si>
  <si>
    <t>Taxa de Sucesso</t>
  </si>
  <si>
    <t xml:space="preserve">Advogados - Assessoria </t>
  </si>
  <si>
    <t>Banco Bradesco S.A.</t>
  </si>
  <si>
    <t>Coordenador Líder</t>
  </si>
  <si>
    <t>Engenharia</t>
  </si>
  <si>
    <t>CONVESTE AUDFILES SERVICOS FINANCEIROS LTDA</t>
  </si>
  <si>
    <t>29.758.816/0001-60</t>
  </si>
  <si>
    <t>43542-5</t>
  </si>
  <si>
    <t>Agente Fiduciário</t>
  </si>
  <si>
    <t>VX Partners Intermediação de Negócios Ltda.</t>
  </si>
  <si>
    <t>19.179.438/0001-07</t>
  </si>
  <si>
    <t>0644-0</t>
  </si>
  <si>
    <t>Agente Custodiante</t>
  </si>
  <si>
    <t>Agente Registrador CCI</t>
  </si>
  <si>
    <t xml:space="preserve">Provisão de Despesas </t>
  </si>
  <si>
    <t>Registro CCI B3 (Débito Automático)</t>
  </si>
  <si>
    <t>Forte Securitizadora S/A</t>
  </si>
  <si>
    <t>12.979.898/0001-70</t>
  </si>
  <si>
    <t>Registro CRI B3 (Débito Automático)</t>
  </si>
  <si>
    <t>Custos Mov. CRI/CCI B3 (Estimado-Deb. Aut.)</t>
  </si>
  <si>
    <t>Taxa de Registro - Anbima</t>
  </si>
  <si>
    <t>Retenção de Impostos sobre NFs</t>
  </si>
  <si>
    <t>Retenção de Impostos</t>
  </si>
  <si>
    <t>Imposto - TForte Participação Ltda</t>
  </si>
  <si>
    <t>Imposto - Coordenador Líder</t>
  </si>
  <si>
    <t>03.751.794/0001-13</t>
  </si>
  <si>
    <t>Imposto - Auditoria Financeira e Implantação</t>
  </si>
  <si>
    <t>Imposto - Agente Fiduciário</t>
  </si>
  <si>
    <t>Reembolso Forte</t>
  </si>
  <si>
    <t>TERRA INVESTIMENTOS DTVM LTDA.</t>
  </si>
  <si>
    <t>0560</t>
  </si>
  <si>
    <t>0156021-2</t>
  </si>
  <si>
    <t>Conforme Escritura de CCI</t>
  </si>
  <si>
    <t xml:space="preserve">Madeira, Valentin &amp; Gallardo Sociedade de Advogados </t>
  </si>
  <si>
    <t>14.150.382/0001-44</t>
  </si>
  <si>
    <t>0445</t>
  </si>
  <si>
    <t>19299-0</t>
  </si>
  <si>
    <t>Imposto - MVA</t>
  </si>
  <si>
    <t>Elaborado por André Dantas</t>
  </si>
  <si>
    <t>13845-5</t>
  </si>
  <si>
    <t>Rating</t>
  </si>
  <si>
    <t>Aguardando Transferência</t>
  </si>
  <si>
    <t>2,00% do Integralizado conforme proposta</t>
  </si>
  <si>
    <t>Auditoria Financeira</t>
  </si>
  <si>
    <t>Implantação</t>
  </si>
  <si>
    <t>Fundo de Reserva</t>
  </si>
  <si>
    <t>0393</t>
  </si>
  <si>
    <t>0,5% do Integralizado conforme proposta</t>
  </si>
  <si>
    <t>0,9% do Integralizado conforme proposta</t>
  </si>
  <si>
    <t>Considerando 5705 Contratos, conforme Conforme Escritura de CCI</t>
  </si>
  <si>
    <t>312 e 313</t>
  </si>
  <si>
    <t>26074-0</t>
  </si>
  <si>
    <t>CRI Buona Vitta - Mapa de Liquidação</t>
  </si>
  <si>
    <t>Comissão Firme</t>
  </si>
  <si>
    <t>Considerando 6209 contratos</t>
  </si>
  <si>
    <t>Considerando 5948 contratos</t>
  </si>
  <si>
    <t>Helio S. Gomes Engenharia - ME</t>
  </si>
  <si>
    <t>22.234.234/0001-36</t>
  </si>
  <si>
    <t>001</t>
  </si>
  <si>
    <t>Banco do Brasil S.A.</t>
  </si>
  <si>
    <t>825-7</t>
  </si>
  <si>
    <t>109.176-X</t>
  </si>
  <si>
    <t>Livre Destinação</t>
  </si>
  <si>
    <t>Banco Banrisul</t>
  </si>
  <si>
    <t>060732460-9</t>
  </si>
  <si>
    <t>0665</t>
  </si>
  <si>
    <t>GRAMADO PARKS INVESTIMENTOS E INTERMEDIAÇÕES LTDA</t>
  </si>
  <si>
    <t>00.369.161/0001-57</t>
  </si>
  <si>
    <t>041</t>
  </si>
  <si>
    <t>Outros Custos (Reembolso)</t>
  </si>
  <si>
    <t>0869</t>
  </si>
  <si>
    <t>13447-8</t>
  </si>
  <si>
    <t>Originador</t>
  </si>
  <si>
    <t>Se7e - Soluções Empresariais</t>
  </si>
  <si>
    <t>16.629.868/0001-95</t>
  </si>
  <si>
    <t>Banco Inter</t>
  </si>
  <si>
    <t>0001</t>
  </si>
  <si>
    <t>Contrato firmado entre a Se7e - Soluções Empresariais e a Gramado Park</t>
  </si>
  <si>
    <t>Imposto - Originador</t>
  </si>
  <si>
    <t>2,00% do Integralizado conforme proposta, será descontado 0,25% ref ao Originador</t>
  </si>
  <si>
    <t>Fundo de Obra</t>
  </si>
  <si>
    <t>FO</t>
  </si>
  <si>
    <t>QTD</t>
  </si>
  <si>
    <t>Aguardar Transferência</t>
  </si>
  <si>
    <t>Retenção de 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</si>
</sst>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R$&quot;\ #,##0.00;[Red]\-&quot;R$&quot;\ #,##0.00"/>
    <numFmt numFmtId="165" formatCode="0.0000%&quot; a.a.&quot;"/>
    <numFmt numFmtId="166" formatCode="_(#,##0_);_(\(#,##0\);_(&quot;-&quot;_);_(@_)"/>
    <numFmt numFmtId="167" formatCode="_(#,##0.00_);_(\(#,##0.00\);_(&quot;-&quot;_);_(@_)"/>
    <numFmt numFmtId="168" formatCode="#,##0.00_ ;\-#,##0.00\ "/>
    <numFmt numFmtId="169" formatCode="_-* #,##0_-;\-* #,##0_-;_-* &quot;-&quot;??_-;_-@_-"/>
    <numFmt numFmtId="170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BE4D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dotted">
        <color theme="0" tint="-0.24994659260841701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theme="0" tint="-0.24994659260841701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274">
    <xf numFmtId="0" fontId="0" fillId="0" borderId="0" xfId="0"/>
    <xf numFmtId="0" fontId="3" fillId="2" borderId="0" xfId="1" applyFont="1" applyFill="1" applyAlignment="1">
      <alignment horizontal="center"/>
    </xf>
    <xf numFmtId="0" fontId="3" fillId="0" borderId="0" xfId="1" applyFont="1"/>
    <xf numFmtId="43" fontId="3" fillId="0" borderId="0" xfId="2" applyFont="1"/>
    <xf numFmtId="2" fontId="4" fillId="2" borderId="0" xfId="2" applyNumberFormat="1" applyFont="1" applyFill="1"/>
    <xf numFmtId="0" fontId="3" fillId="0" borderId="0" xfId="1" applyFont="1" applyAlignment="1">
      <alignment horizontal="center"/>
    </xf>
    <xf numFmtId="43" fontId="3" fillId="0" borderId="0" xfId="1" applyNumberFormat="1" applyFont="1"/>
    <xf numFmtId="43" fontId="3" fillId="0" borderId="0" xfId="2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43" fontId="3" fillId="0" borderId="0" xfId="1" applyNumberFormat="1" applyFont="1" applyAlignment="1">
      <alignment vertical="center"/>
    </xf>
    <xf numFmtId="165" fontId="3" fillId="0" borderId="0" xfId="3" applyNumberFormat="1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4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0" fontId="3" fillId="0" borderId="0" xfId="4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1" xfId="5" applyFont="1" applyBorder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2" fillId="0" borderId="0" xfId="1"/>
    <xf numFmtId="0" fontId="3" fillId="0" borderId="0" xfId="1" applyFont="1" applyFill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3" fillId="2" borderId="0" xfId="1" applyFont="1" applyFill="1" applyAlignment="1">
      <alignment vertical="center"/>
    </xf>
    <xf numFmtId="164" fontId="7" fillId="2" borderId="0" xfId="1" applyNumberFormat="1" applyFont="1" applyFill="1"/>
    <xf numFmtId="0" fontId="7" fillId="2" borderId="0" xfId="1" applyFont="1" applyFill="1"/>
    <xf numFmtId="164" fontId="3" fillId="2" borderId="0" xfId="1" applyNumberFormat="1" applyFont="1" applyFill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66" fontId="9" fillId="2" borderId="0" xfId="6" applyNumberFormat="1" applyFont="1" applyFill="1" applyAlignment="1">
      <alignment horizontal="right" vertical="center"/>
    </xf>
    <xf numFmtId="169" fontId="10" fillId="2" borderId="0" xfId="0" applyNumberFormat="1" applyFont="1" applyFill="1" applyAlignment="1">
      <alignment horizontal="right"/>
    </xf>
    <xf numFmtId="164" fontId="7" fillId="2" borderId="0" xfId="1" applyNumberFormat="1" applyFont="1" applyFill="1" applyAlignment="1">
      <alignment horizontal="center"/>
    </xf>
    <xf numFmtId="0" fontId="2" fillId="2" borderId="0" xfId="1" applyFill="1"/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/>
    </xf>
    <xf numFmtId="0" fontId="3" fillId="2" borderId="0" xfId="1" applyFont="1" applyFill="1"/>
    <xf numFmtId="164" fontId="3" fillId="2" borderId="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indent="3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1" fillId="3" borderId="0" xfId="1" applyFont="1" applyFill="1" applyAlignment="1" applyProtection="1">
      <alignment horizontal="center" vertical="center" wrapText="1"/>
      <protection locked="0"/>
    </xf>
    <xf numFmtId="0" fontId="11" fillId="3" borderId="0" xfId="1" applyFont="1" applyFill="1" applyAlignment="1" applyProtection="1">
      <alignment horizontal="centerContinuous" vertical="center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  <protection locked="0"/>
    </xf>
    <xf numFmtId="164" fontId="5" fillId="4" borderId="0" xfId="1" applyNumberFormat="1" applyFont="1" applyFill="1" applyAlignment="1">
      <alignment horizontal="center"/>
    </xf>
    <xf numFmtId="0" fontId="5" fillId="4" borderId="0" xfId="1" applyFont="1" applyFill="1" applyAlignment="1">
      <alignment horizontal="center" vertical="center"/>
    </xf>
    <xf numFmtId="14" fontId="5" fillId="4" borderId="0" xfId="1" applyNumberFormat="1" applyFont="1" applyFill="1" applyAlignment="1">
      <alignment horizontal="center"/>
    </xf>
    <xf numFmtId="167" fontId="5" fillId="4" borderId="0" xfId="1" applyNumberFormat="1" applyFont="1" applyFill="1" applyAlignment="1">
      <alignment horizontal="center"/>
    </xf>
    <xf numFmtId="166" fontId="5" fillId="4" borderId="0" xfId="1" applyNumberFormat="1" applyFont="1" applyFill="1" applyAlignment="1">
      <alignment horizontal="center"/>
    </xf>
    <xf numFmtId="0" fontId="5" fillId="4" borderId="0" xfId="1" applyFont="1" applyFill="1" applyAlignment="1">
      <alignment vertical="center"/>
    </xf>
    <xf numFmtId="0" fontId="5" fillId="4" borderId="0" xfId="1" applyFont="1" applyFill="1"/>
    <xf numFmtId="0" fontId="5" fillId="4" borderId="0" xfId="1" applyFont="1" applyFill="1" applyAlignment="1">
      <alignment horizontal="center"/>
    </xf>
    <xf numFmtId="0" fontId="5" fillId="4" borderId="0" xfId="1" quotePrefix="1" applyFont="1" applyFill="1" applyAlignment="1">
      <alignment horizontal="center"/>
    </xf>
    <xf numFmtId="10" fontId="5" fillId="4" borderId="0" xfId="1" applyNumberFormat="1" applyFont="1" applyFill="1" applyAlignment="1">
      <alignment horizontal="center"/>
    </xf>
    <xf numFmtId="43" fontId="5" fillId="4" borderId="0" xfId="2" applyFont="1" applyFill="1" applyAlignment="1">
      <alignment horizontal="center"/>
    </xf>
    <xf numFmtId="168" fontId="5" fillId="4" borderId="0" xfId="2" applyNumberFormat="1" applyFont="1" applyFill="1" applyAlignment="1">
      <alignment horizontal="center" vertical="center"/>
    </xf>
    <xf numFmtId="168" fontId="5" fillId="4" borderId="0" xfId="2" applyNumberFormat="1" applyFont="1" applyFill="1" applyAlignment="1">
      <alignment horizontal="center"/>
    </xf>
    <xf numFmtId="164" fontId="6" fillId="0" borderId="0" xfId="1" applyNumberFormat="1" applyFont="1" applyAlignment="1">
      <alignment horizontal="center" vertical="center"/>
    </xf>
    <xf numFmtId="14" fontId="5" fillId="0" borderId="0" xfId="1" applyNumberFormat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43" fontId="6" fillId="0" borderId="0" xfId="2" applyFont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0" fontId="6" fillId="4" borderId="0" xfId="1" quotePrefix="1" applyFont="1" applyFill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/>
    </xf>
    <xf numFmtId="10" fontId="6" fillId="4" borderId="0" xfId="1" applyNumberFormat="1" applyFont="1" applyFill="1" applyAlignment="1">
      <alignment horizontal="center" vertical="center"/>
    </xf>
    <xf numFmtId="43" fontId="6" fillId="4" borderId="0" xfId="2" applyFont="1" applyFill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vertical="center"/>
    </xf>
    <xf numFmtId="14" fontId="6" fillId="5" borderId="3" xfId="1" applyNumberFormat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3" xfId="0" quotePrefix="1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/>
    </xf>
    <xf numFmtId="10" fontId="6" fillId="5" borderId="3" xfId="0" applyNumberFormat="1" applyFont="1" applyFill="1" applyBorder="1" applyAlignment="1">
      <alignment horizontal="center" vertical="center"/>
    </xf>
    <xf numFmtId="43" fontId="6" fillId="5" borderId="3" xfId="7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164" fontId="6" fillId="5" borderId="0" xfId="1" applyNumberFormat="1" applyFont="1" applyFill="1" applyBorder="1" applyAlignment="1">
      <alignment horizontal="center" vertical="center"/>
    </xf>
    <xf numFmtId="0" fontId="6" fillId="5" borderId="0" xfId="1" applyFont="1" applyFill="1" applyAlignment="1">
      <alignment vertical="center"/>
    </xf>
    <xf numFmtId="14" fontId="6" fillId="5" borderId="0" xfId="1" applyNumberFormat="1" applyFont="1" applyFill="1" applyAlignment="1">
      <alignment horizontal="center" vertical="center"/>
    </xf>
    <xf numFmtId="0" fontId="12" fillId="5" borderId="0" xfId="1" applyFont="1" applyFill="1" applyAlignment="1">
      <alignment horizontal="right" vertical="center"/>
    </xf>
    <xf numFmtId="0" fontId="6" fillId="5" borderId="0" xfId="1" applyFont="1" applyFill="1" applyAlignment="1">
      <alignment horizontal="center" vertical="center"/>
    </xf>
    <xf numFmtId="0" fontId="6" fillId="5" borderId="0" xfId="1" quotePrefix="1" applyFont="1" applyFill="1" applyAlignment="1">
      <alignment horizontal="center" vertical="center"/>
    </xf>
    <xf numFmtId="164" fontId="6" fillId="5" borderId="0" xfId="1" applyNumberFormat="1" applyFont="1" applyFill="1" applyAlignment="1">
      <alignment horizontal="center" vertical="center"/>
    </xf>
    <xf numFmtId="10" fontId="6" fillId="5" borderId="0" xfId="1" applyNumberFormat="1" applyFont="1" applyFill="1" applyAlignment="1">
      <alignment horizontal="center" vertical="center"/>
    </xf>
    <xf numFmtId="43" fontId="6" fillId="5" borderId="0" xfId="2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quotePrefix="1" applyFont="1" applyFill="1" applyAlignment="1">
      <alignment horizontal="center" vertical="center"/>
    </xf>
    <xf numFmtId="164" fontId="6" fillId="5" borderId="5" xfId="1" applyNumberFormat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vertical="center"/>
    </xf>
    <xf numFmtId="14" fontId="6" fillId="5" borderId="5" xfId="1" applyNumberFormat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right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5" xfId="1" quotePrefix="1" applyFont="1" applyFill="1" applyBorder="1" applyAlignment="1">
      <alignment horizontal="center" vertical="center"/>
    </xf>
    <xf numFmtId="10" fontId="6" fillId="5" borderId="5" xfId="1" applyNumberFormat="1" applyFont="1" applyFill="1" applyBorder="1" applyAlignment="1">
      <alignment horizontal="center" vertical="center"/>
    </xf>
    <xf numFmtId="43" fontId="6" fillId="5" borderId="5" xfId="2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right" vertical="center"/>
    </xf>
    <xf numFmtId="14" fontId="6" fillId="6" borderId="0" xfId="1" applyNumberFormat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vertical="center"/>
    </xf>
    <xf numFmtId="164" fontId="6" fillId="6" borderId="0" xfId="1" applyNumberFormat="1" applyFont="1" applyFill="1" applyBorder="1" applyAlignment="1">
      <alignment horizontal="center" vertical="center"/>
    </xf>
    <xf numFmtId="10" fontId="6" fillId="6" borderId="0" xfId="1" applyNumberFormat="1" applyFont="1" applyFill="1" applyBorder="1" applyAlignment="1">
      <alignment horizontal="center" vertical="center"/>
    </xf>
    <xf numFmtId="43" fontId="6" fillId="6" borderId="0" xfId="2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right" vertical="center"/>
    </xf>
    <xf numFmtId="14" fontId="6" fillId="6" borderId="0" xfId="1" applyNumberFormat="1" applyFont="1" applyFill="1" applyAlignment="1">
      <alignment horizontal="center" vertical="center"/>
    </xf>
    <xf numFmtId="0" fontId="6" fillId="6" borderId="0" xfId="1" applyFont="1" applyFill="1" applyAlignment="1">
      <alignment vertical="center"/>
    </xf>
    <xf numFmtId="164" fontId="6" fillId="6" borderId="0" xfId="1" applyNumberFormat="1" applyFont="1" applyFill="1" applyAlignment="1">
      <alignment horizontal="center" vertical="center"/>
    </xf>
    <xf numFmtId="10" fontId="6" fillId="6" borderId="0" xfId="1" applyNumberFormat="1" applyFont="1" applyFill="1" applyAlignment="1">
      <alignment horizontal="center" vertical="center"/>
    </xf>
    <xf numFmtId="43" fontId="6" fillId="6" borderId="0" xfId="2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43" fontId="5" fillId="0" borderId="0" xfId="2" applyFont="1" applyAlignment="1">
      <alignment horizontal="center" vertical="center"/>
    </xf>
    <xf numFmtId="14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left" vertical="center" indent="1"/>
    </xf>
    <xf numFmtId="164" fontId="6" fillId="4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14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6" fillId="0" borderId="0" xfId="1" quotePrefix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0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/>
    </xf>
    <xf numFmtId="43" fontId="6" fillId="0" borderId="0" xfId="2" applyFont="1" applyFill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164" fontId="6" fillId="0" borderId="0" xfId="1" applyNumberFormat="1" applyFont="1" applyAlignment="1">
      <alignment horizontal="center"/>
    </xf>
    <xf numFmtId="43" fontId="5" fillId="4" borderId="0" xfId="1" applyNumberFormat="1" applyFont="1" applyFill="1" applyAlignment="1">
      <alignment horizontal="center" vertical="center"/>
    </xf>
    <xf numFmtId="43" fontId="5" fillId="4" borderId="0" xfId="1" applyNumberFormat="1" applyFont="1" applyFill="1" applyAlignment="1">
      <alignment vertical="center"/>
    </xf>
    <xf numFmtId="43" fontId="6" fillId="4" borderId="0" xfId="1" applyNumberFormat="1" applyFont="1" applyFill="1" applyAlignment="1">
      <alignment horizontal="center" vertical="center"/>
    </xf>
    <xf numFmtId="43" fontId="6" fillId="4" borderId="0" xfId="1" applyNumberFormat="1" applyFont="1" applyFill="1" applyAlignment="1">
      <alignment vertical="center"/>
    </xf>
    <xf numFmtId="43" fontId="6" fillId="4" borderId="0" xfId="1" quotePrefix="1" applyNumberFormat="1" applyFont="1" applyFill="1" applyAlignment="1">
      <alignment horizontal="center" vertical="center"/>
    </xf>
    <xf numFmtId="164" fontId="5" fillId="4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10" fontId="6" fillId="2" borderId="0" xfId="1" applyNumberFormat="1" applyFont="1" applyFill="1" applyAlignment="1">
      <alignment horizontal="center" vertical="center"/>
    </xf>
    <xf numFmtId="43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164" fontId="6" fillId="4" borderId="0" xfId="2" applyNumberFormat="1" applyFont="1" applyFill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3" fontId="5" fillId="3" borderId="0" xfId="1" applyNumberFormat="1" applyFont="1" applyFill="1" applyAlignment="1">
      <alignment horizontal="center" vertical="center"/>
    </xf>
    <xf numFmtId="43" fontId="5" fillId="3" borderId="0" xfId="1" applyNumberFormat="1" applyFont="1" applyFill="1" applyAlignment="1">
      <alignment vertical="center"/>
    </xf>
    <xf numFmtId="43" fontId="6" fillId="3" borderId="0" xfId="1" applyNumberFormat="1" applyFont="1" applyFill="1" applyAlignment="1">
      <alignment horizontal="center" vertical="center"/>
    </xf>
    <xf numFmtId="43" fontId="6" fillId="3" borderId="0" xfId="1" applyNumberFormat="1" applyFont="1" applyFill="1" applyAlignment="1">
      <alignment vertical="center"/>
    </xf>
    <xf numFmtId="43" fontId="6" fillId="3" borderId="0" xfId="1" quotePrefix="1" applyNumberFormat="1" applyFont="1" applyFill="1" applyAlignment="1">
      <alignment horizontal="center" vertical="center"/>
    </xf>
    <xf numFmtId="43" fontId="6" fillId="3" borderId="0" xfId="2" applyFont="1" applyFill="1" applyAlignment="1">
      <alignment horizontal="center" vertical="center"/>
    </xf>
    <xf numFmtId="164" fontId="5" fillId="3" borderId="0" xfId="1" applyNumberFormat="1" applyFont="1" applyFill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0" fontId="11" fillId="3" borderId="0" xfId="1" applyFont="1" applyFill="1" applyAlignment="1" applyProtection="1">
      <alignment horizontal="center" vertical="center"/>
      <protection locked="0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164" fontId="13" fillId="4" borderId="0" xfId="1" applyNumberFormat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164" fontId="6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/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169" fontId="13" fillId="4" borderId="0" xfId="7" applyNumberFormat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3" fillId="4" borderId="0" xfId="1" applyFont="1" applyFill="1"/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170" fontId="5" fillId="4" borderId="0" xfId="2" applyNumberFormat="1" applyFont="1" applyFill="1" applyAlignment="1">
      <alignment horizontal="center" vertical="center"/>
    </xf>
    <xf numFmtId="170" fontId="6" fillId="0" borderId="0" xfId="1" applyNumberFormat="1" applyFont="1" applyAlignment="1">
      <alignment horizontal="center" vertical="center"/>
    </xf>
    <xf numFmtId="170" fontId="6" fillId="4" borderId="0" xfId="1" applyNumberFormat="1" applyFont="1" applyFill="1" applyAlignment="1">
      <alignment horizontal="center" vertical="center"/>
    </xf>
    <xf numFmtId="170" fontId="5" fillId="0" borderId="0" xfId="1" applyNumberFormat="1" applyFont="1" applyAlignment="1">
      <alignment horizontal="center" vertical="center"/>
    </xf>
    <xf numFmtId="170" fontId="6" fillId="2" borderId="0" xfId="1" applyNumberFormat="1" applyFont="1" applyFill="1" applyAlignment="1">
      <alignment horizontal="center" vertical="center"/>
    </xf>
    <xf numFmtId="170" fontId="5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170" fontId="6" fillId="0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170" fontId="6" fillId="4" borderId="0" xfId="1" quotePrefix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170" fontId="3" fillId="2" borderId="0" xfId="1" applyNumberFormat="1" applyFont="1" applyFill="1"/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3" fontId="3" fillId="2" borderId="0" xfId="7" applyFont="1" applyFill="1"/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3" fillId="3" borderId="0" xfId="1" applyFont="1" applyFill="1"/>
    <xf numFmtId="43" fontId="3" fillId="3" borderId="0" xfId="2" applyFont="1" applyFill="1"/>
    <xf numFmtId="166" fontId="6" fillId="0" borderId="0" xfId="1" applyNumberFormat="1" applyFont="1" applyAlignment="1">
      <alignment vertical="center"/>
    </xf>
    <xf numFmtId="49" fontId="6" fillId="4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" fontId="5" fillId="4" borderId="0" xfId="1" applyNumberFormat="1" applyFont="1" applyFill="1" applyAlignment="1">
      <alignment horizont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6" fillId="4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left" vertical="center" indent="3"/>
    </xf>
    <xf numFmtId="0" fontId="7" fillId="0" borderId="1" xfId="5" applyFont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</cellXfs>
  <cellStyles count="8">
    <cellStyle name="Comma" xfId="7" builtinId="3"/>
    <cellStyle name="Normal" xfId="0" builtinId="0"/>
    <cellStyle name="Normal 10" xfId="5" xr:uid="{2431C8B8-7246-4F35-B8A1-7DBC23F5B835}"/>
    <cellStyle name="Normal 2" xfId="1" xr:uid="{646DDEB3-9C79-4B82-871C-3D681F04151F}"/>
    <cellStyle name="Normal 3 2" xfId="6" xr:uid="{526AC5FB-DF55-4728-80B7-BC99FAFC71EC}"/>
    <cellStyle name="Porcentagem 2" xfId="4" xr:uid="{B04A9517-6AE4-473F-B291-F653F7672C1A}"/>
    <cellStyle name="Porcentagem 3" xfId="3" xr:uid="{EE869E75-C047-4085-A048-6D0EE5CDC8FF}"/>
    <cellStyle name="Vírgula 2" xfId="2" xr:uid="{7948594A-FD1A-4561-9023-E49921FAB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137583</xdr:rowOff>
    </xdr:from>
    <xdr:to>
      <xdr:col>1</xdr:col>
      <xdr:colOff>1609572</xdr:colOff>
      <xdr:row>2</xdr:row>
      <xdr:rowOff>134862</xdr:rowOff>
    </xdr:to>
    <xdr:pic>
      <xdr:nvPicPr>
        <xdr:cNvPr id="2" name="Imagem 1" descr="Uma imagem contendo clip-art&#10;&#10;Descrição gerada automaticamente">
          <a:extLst>
            <a:ext uri="{FF2B5EF4-FFF2-40B4-BE49-F238E27FC236}">
              <a16:creationId xmlns:a16="http://schemas.microsoft.com/office/drawing/2014/main" id="{75448BD3-C25F-4B15-BEFB-4E3526620A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137583"/>
          <a:ext cx="1545166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_Negocios\3_Gestao\2_CRI\CRI_S218_219_A&amp;C%20Lima\2_Estruturacao\7_Liquidacao\3_Mapa%20de%20Liquida&#231;&#227;o\20190606_CRI_S218_219_A&amp;CLima_Mapa_Liquid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Up"/>
      <sheetName val="Relatório Liquidação"/>
      <sheetName val="Referencias"/>
      <sheetName val="Resum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B4E5-0295-4337-944E-3A4913AB8AAD}">
  <sheetPr codeName="Planilha1">
    <pageSetUpPr fitToPage="1"/>
  </sheetPr>
  <dimension ref="A1:AB506"/>
  <sheetViews>
    <sheetView showGridLines="0" tabSelected="1" zoomScale="85" zoomScaleNormal="85" zoomScaleSheetLayoutView="90" workbookViewId="0">
      <pane xSplit="2" ySplit="8" topLeftCell="C473" activePane="bottomRight" state="frozen"/>
      <selection pane="topRight" activeCell="C1" sqref="C1"/>
      <selection pane="bottomLeft" activeCell="A9" sqref="A9"/>
      <selection pane="bottomRight" activeCell="S506" sqref="S506"/>
    </sheetView>
  </sheetViews>
  <sheetFormatPr defaultColWidth="9.140625" defaultRowHeight="12" customHeight="1" x14ac:dyDescent="0.2"/>
  <cols>
    <col min="1" max="1" width="3.5703125" style="1" customWidth="1"/>
    <col min="2" max="2" width="26.140625" style="2" bestFit="1" customWidth="1"/>
    <col min="3" max="3" width="10.140625" style="2" bestFit="1" customWidth="1"/>
    <col min="4" max="4" width="14.85546875" style="2" bestFit="1" customWidth="1"/>
    <col min="5" max="5" width="23.42578125" style="2" bestFit="1" customWidth="1"/>
    <col min="6" max="6" width="11.5703125" style="2" bestFit="1" customWidth="1"/>
    <col min="7" max="7" width="42.42578125" style="2" bestFit="1" customWidth="1"/>
    <col min="8" max="8" width="34.85546875" style="2" customWidth="1"/>
    <col min="9" max="9" width="18.85546875" style="2" customWidth="1"/>
    <col min="10" max="10" width="7.28515625" style="2" customWidth="1"/>
    <col min="11" max="11" width="27.5703125" style="2" hidden="1" customWidth="1"/>
    <col min="12" max="12" width="9.5703125" style="2" hidden="1" customWidth="1"/>
    <col min="13" max="13" width="12.42578125" style="2" hidden="1" customWidth="1"/>
    <col min="14" max="14" width="17.85546875" style="2" hidden="1" customWidth="1"/>
    <col min="15" max="15" width="11" style="3" hidden="1" customWidth="1"/>
    <col min="16" max="16" width="16.42578125" style="3" hidden="1" customWidth="1"/>
    <col min="17" max="17" width="10.7109375" style="3" hidden="1" customWidth="1"/>
    <col min="18" max="18" width="12.7109375" style="3" hidden="1" customWidth="1"/>
    <col min="19" max="19" width="18.7109375" style="3" customWidth="1"/>
    <col min="20" max="20" width="81.85546875" style="2" bestFit="1" customWidth="1"/>
    <col min="21" max="21" width="1" style="2" customWidth="1"/>
    <col min="22" max="22" width="17.5703125" style="39" customWidth="1"/>
    <col min="23" max="23" width="14.42578125" style="39" bestFit="1" customWidth="1"/>
    <col min="24" max="24" width="12.5703125" style="39" hidden="1" customWidth="1"/>
    <col min="25" max="25" width="17.7109375" style="39" bestFit="1" customWidth="1"/>
    <col min="26" max="26" width="14.7109375" style="39" bestFit="1" customWidth="1"/>
    <col min="27" max="27" width="17.7109375" style="39" bestFit="1" customWidth="1"/>
    <col min="28" max="28" width="13.5703125" style="39" bestFit="1" customWidth="1"/>
    <col min="29" max="16384" width="9.140625" style="39"/>
  </cols>
  <sheetData>
    <row r="1" spans="1:28" s="2" customFormat="1" ht="12" customHeight="1" x14ac:dyDescent="0.2">
      <c r="A1" s="1"/>
      <c r="Q1" s="3"/>
      <c r="R1" s="3"/>
      <c r="S1" s="3"/>
      <c r="W1" s="4">
        <v>-4.1836756281554699E-11</v>
      </c>
    </row>
    <row r="2" spans="1:28" s="2" customFormat="1" ht="28.5" customHeight="1" x14ac:dyDescent="0.2">
      <c r="A2" s="1"/>
      <c r="D2" s="268" t="s">
        <v>82</v>
      </c>
      <c r="E2" s="268"/>
      <c r="F2" s="268"/>
      <c r="G2" s="268"/>
      <c r="I2" s="5"/>
      <c r="N2" s="3"/>
      <c r="O2" s="6"/>
      <c r="Q2" s="7"/>
      <c r="R2" s="7"/>
      <c r="S2" s="7"/>
    </row>
    <row r="3" spans="1:28" s="9" customFormat="1" ht="12" customHeight="1" x14ac:dyDescent="0.2">
      <c r="A3" s="8"/>
      <c r="D3" s="268"/>
      <c r="E3" s="268"/>
      <c r="F3" s="268"/>
      <c r="G3" s="268"/>
      <c r="H3" s="7"/>
      <c r="I3" s="10"/>
      <c r="K3" s="2"/>
      <c r="L3" s="11"/>
      <c r="N3" s="2"/>
      <c r="O3" s="2"/>
      <c r="P3" s="2"/>
      <c r="Y3" s="9" t="s">
        <v>92</v>
      </c>
      <c r="Z3" s="9" t="s">
        <v>102</v>
      </c>
      <c r="AA3" s="9" t="s">
        <v>111</v>
      </c>
      <c r="AB3" s="9" t="s">
        <v>112</v>
      </c>
    </row>
    <row r="4" spans="1:28" s="9" customFormat="1" ht="12" customHeight="1" thickBot="1" x14ac:dyDescent="0.25">
      <c r="A4" s="8"/>
      <c r="D4" s="41"/>
      <c r="E4" s="41"/>
      <c r="F4" s="41"/>
      <c r="G4" s="41"/>
      <c r="H4" s="7"/>
      <c r="I4" s="10"/>
      <c r="K4" s="2"/>
      <c r="L4" s="11"/>
      <c r="N4" s="2"/>
      <c r="O4" s="2"/>
      <c r="P4" s="2"/>
      <c r="T4" s="43"/>
      <c r="Y4" s="166">
        <f>SUMIF(G1:G1446,$G$36,S1:S1446)</f>
        <v>77404585.117570505</v>
      </c>
      <c r="Z4" s="166">
        <f>SUM(P44)+0.25%*S10+P59</f>
        <v>115144.64695932501</v>
      </c>
      <c r="AA4" s="166">
        <f>SUMIF(G1:G1446,$G$65,S1:S1446)</f>
        <v>153958782.0231432</v>
      </c>
      <c r="AB4" s="182">
        <f>SUM(F:F)</f>
        <v>259000</v>
      </c>
    </row>
    <row r="5" spans="1:28" s="9" customFormat="1" ht="12" customHeight="1" x14ac:dyDescent="0.2">
      <c r="A5" s="8"/>
      <c r="D5" s="41"/>
      <c r="E5" s="41"/>
      <c r="F5" s="41"/>
      <c r="G5" s="41"/>
      <c r="H5" s="7"/>
      <c r="I5" s="10"/>
      <c r="K5" s="2"/>
      <c r="L5" s="11"/>
      <c r="N5" s="2"/>
      <c r="O5" s="2"/>
      <c r="P5" s="2"/>
      <c r="T5" s="42" t="s">
        <v>68</v>
      </c>
      <c r="Y5" s="20"/>
    </row>
    <row r="6" spans="1:28" s="9" customFormat="1" ht="12" customHeight="1" x14ac:dyDescent="0.25">
      <c r="A6" s="8"/>
      <c r="D6" s="12"/>
      <c r="E6" s="12"/>
      <c r="G6" s="13"/>
      <c r="H6" s="14"/>
      <c r="I6" s="15"/>
      <c r="J6" s="15"/>
      <c r="K6" s="16"/>
      <c r="M6" s="17"/>
      <c r="N6" s="7"/>
      <c r="O6" s="7"/>
      <c r="P6" s="7"/>
      <c r="Q6" s="7"/>
      <c r="R6" s="7"/>
    </row>
    <row r="7" spans="1:28" s="27" customFormat="1" ht="15.75" customHeight="1" x14ac:dyDescent="0.25">
      <c r="A7" s="8"/>
      <c r="B7" s="269" t="s">
        <v>0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18"/>
      <c r="U7" s="9"/>
    </row>
    <row r="8" spans="1:28" s="27" customFormat="1" ht="39" customHeight="1" x14ac:dyDescent="0.25">
      <c r="A8" s="8"/>
      <c r="B8" s="44" t="s">
        <v>1</v>
      </c>
      <c r="C8" s="44" t="s">
        <v>2</v>
      </c>
      <c r="D8" s="44" t="s">
        <v>3</v>
      </c>
      <c r="E8" s="44" t="s">
        <v>4</v>
      </c>
      <c r="F8" s="163" t="s">
        <v>5</v>
      </c>
      <c r="G8" s="45" t="s">
        <v>6</v>
      </c>
      <c r="H8" s="45" t="s">
        <v>7</v>
      </c>
      <c r="I8" s="44" t="s">
        <v>8</v>
      </c>
      <c r="J8" s="44" t="s">
        <v>9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44" t="s">
        <v>16</v>
      </c>
      <c r="R8" s="44" t="s">
        <v>17</v>
      </c>
      <c r="S8" s="46" t="s">
        <v>18</v>
      </c>
      <c r="T8" s="44" t="s">
        <v>19</v>
      </c>
      <c r="U8" s="9"/>
    </row>
    <row r="9" spans="1:28" s="29" customFormat="1" ht="15" x14ac:dyDescent="0.25">
      <c r="A9" s="19"/>
      <c r="B9" s="47" t="s">
        <v>20</v>
      </c>
      <c r="C9" s="48" t="s">
        <v>80</v>
      </c>
      <c r="D9" s="49">
        <v>43796</v>
      </c>
      <c r="E9" s="50">
        <v>1000</v>
      </c>
      <c r="F9" s="51">
        <v>10999</v>
      </c>
      <c r="G9" s="52" t="s">
        <v>20</v>
      </c>
      <c r="H9" s="53"/>
      <c r="I9" s="53"/>
      <c r="J9" s="54"/>
      <c r="K9" s="54"/>
      <c r="L9" s="55"/>
      <c r="M9" s="54"/>
      <c r="N9" s="47"/>
      <c r="O9" s="56"/>
      <c r="P9" s="47"/>
      <c r="Q9" s="56"/>
      <c r="R9" s="57"/>
      <c r="S9" s="58">
        <f>E9*F9</f>
        <v>10999000</v>
      </c>
      <c r="T9" s="47"/>
      <c r="U9" s="20"/>
      <c r="V9" s="28"/>
    </row>
    <row r="10" spans="1:28" s="29" customFormat="1" ht="16.5" customHeight="1" x14ac:dyDescent="0.25">
      <c r="A10" s="19"/>
      <c r="B10" s="47" t="s">
        <v>20</v>
      </c>
      <c r="C10" s="54" t="s">
        <v>21</v>
      </c>
      <c r="D10" s="49"/>
      <c r="E10" s="50"/>
      <c r="F10" s="51"/>
      <c r="G10" s="53" t="s">
        <v>22</v>
      </c>
      <c r="H10" s="53"/>
      <c r="I10" s="53"/>
      <c r="J10" s="54"/>
      <c r="K10" s="54"/>
      <c r="L10" s="55"/>
      <c r="M10" s="54"/>
      <c r="N10" s="47"/>
      <c r="O10" s="56"/>
      <c r="P10" s="47"/>
      <c r="Q10" s="56"/>
      <c r="R10" s="57"/>
      <c r="S10" s="59">
        <f>SUM(S9:S9)</f>
        <v>10999000</v>
      </c>
      <c r="T10" s="47"/>
      <c r="U10" s="20"/>
      <c r="V10" s="28">
        <f>S10+S40+S55+S69+S82+S96+S109+S122+S136+S149+S162+S175+S188+S202+S216+S231+S245+S259+S275+S294+S312</f>
        <v>158163550.38106406</v>
      </c>
    </row>
    <row r="11" spans="1:28" s="27" customFormat="1" ht="12" customHeight="1" x14ac:dyDescent="0.25">
      <c r="A11" s="21"/>
      <c r="B11" s="150" t="s">
        <v>23</v>
      </c>
      <c r="C11" s="17"/>
      <c r="D11" s="61"/>
      <c r="E11" s="17"/>
      <c r="F11" s="17"/>
      <c r="G11" s="17" t="s">
        <v>24</v>
      </c>
      <c r="H11" s="17" t="s">
        <v>25</v>
      </c>
      <c r="I11" s="17" t="s">
        <v>26</v>
      </c>
      <c r="J11" s="62">
        <v>341</v>
      </c>
      <c r="K11" s="62" t="s">
        <v>27</v>
      </c>
      <c r="L11" s="63" t="s">
        <v>28</v>
      </c>
      <c r="M11" s="62" t="s">
        <v>29</v>
      </c>
      <c r="N11" s="64">
        <f>S9*0.5%</f>
        <v>54995</v>
      </c>
      <c r="O11" s="65">
        <v>0.1115</v>
      </c>
      <c r="P11" s="60">
        <f t="array" ref="P11">N11/(1-O11)</f>
        <v>61896.454698930786</v>
      </c>
      <c r="Q11" s="65">
        <v>6.1499999999999999E-2</v>
      </c>
      <c r="R11" s="66">
        <f>Q11*P11</f>
        <v>3806.6319639842432</v>
      </c>
      <c r="S11" s="60">
        <f t="shared" ref="S11:S20" si="0">P11*(1-Q11)</f>
        <v>58089.822734946545</v>
      </c>
      <c r="T11" s="67" t="s">
        <v>77</v>
      </c>
      <c r="U11" s="20"/>
      <c r="V11" s="30">
        <f>V10-S35-S36-S48-S49-S63-S64-S65-S77-S78-S90-S91-S104-S105-S117-S118-S130-S131-S144-S145-S157-S158-S170-S171-S183-S184-S196-S197-S210-S211-S224-S225-S239-S240-S253-S254-S267-S268-S283-S284-S302-S303-S320-S321</f>
        <v>6999930.444487703</v>
      </c>
    </row>
    <row r="12" spans="1:28" s="27" customFormat="1" ht="12" customHeight="1" x14ac:dyDescent="0.25">
      <c r="A12" s="21"/>
      <c r="B12" s="68" t="s">
        <v>23</v>
      </c>
      <c r="C12" s="69"/>
      <c r="D12" s="49"/>
      <c r="E12" s="69"/>
      <c r="F12" s="69"/>
      <c r="G12" s="69" t="s">
        <v>30</v>
      </c>
      <c r="H12" s="69" t="s">
        <v>25</v>
      </c>
      <c r="I12" s="69" t="s">
        <v>26</v>
      </c>
      <c r="J12" s="70">
        <v>341</v>
      </c>
      <c r="K12" s="70" t="s">
        <v>27</v>
      </c>
      <c r="L12" s="71" t="s">
        <v>28</v>
      </c>
      <c r="M12" s="70" t="s">
        <v>29</v>
      </c>
      <c r="N12" s="72">
        <f>S9*2%</f>
        <v>219980</v>
      </c>
      <c r="O12" s="73">
        <v>0.1115</v>
      </c>
      <c r="P12" s="68">
        <f>(N12/(1-O12))</f>
        <v>247585.81879572314</v>
      </c>
      <c r="Q12" s="73">
        <v>6.1499999999999999E-2</v>
      </c>
      <c r="R12" s="74">
        <f t="array" ref="R12">Q12*P12</f>
        <v>15226.527855936973</v>
      </c>
      <c r="S12" s="68">
        <f t="array" ref="S12">P12*(1-Q12)</f>
        <v>232359.29093978618</v>
      </c>
      <c r="T12" s="152" t="s">
        <v>109</v>
      </c>
      <c r="U12" s="20"/>
      <c r="V12" s="30"/>
    </row>
    <row r="13" spans="1:28" s="27" customFormat="1" ht="12" customHeight="1" x14ac:dyDescent="0.25">
      <c r="A13" s="21"/>
      <c r="B13" s="150" t="s">
        <v>23</v>
      </c>
      <c r="C13" s="17"/>
      <c r="D13" s="61"/>
      <c r="E13" s="17"/>
      <c r="F13" s="17"/>
      <c r="G13" s="17" t="s">
        <v>83</v>
      </c>
      <c r="H13" s="17" t="s">
        <v>25</v>
      </c>
      <c r="I13" s="17" t="s">
        <v>26</v>
      </c>
      <c r="J13" s="62">
        <v>341</v>
      </c>
      <c r="K13" s="62" t="s">
        <v>27</v>
      </c>
      <c r="L13" s="63" t="s">
        <v>28</v>
      </c>
      <c r="M13" s="62" t="s">
        <v>29</v>
      </c>
      <c r="N13" s="64">
        <f>S10*0.9%</f>
        <v>98991.000000000015</v>
      </c>
      <c r="O13" s="65">
        <v>0.1115</v>
      </c>
      <c r="P13" s="60">
        <f t="shared" ref="P13" si="1">N13/(1-O13)</f>
        <v>111413.61845807543</v>
      </c>
      <c r="Q13" s="65">
        <v>6.1499999999999999E-2</v>
      </c>
      <c r="R13" s="66">
        <f>Q13*P13</f>
        <v>6851.937535171639</v>
      </c>
      <c r="S13" s="60">
        <f t="shared" ref="S13" si="2">P13*(1-Q13)</f>
        <v>104561.68092290379</v>
      </c>
      <c r="T13" s="67" t="s">
        <v>78</v>
      </c>
      <c r="U13" s="20"/>
      <c r="V13" s="30"/>
    </row>
    <row r="14" spans="1:28" s="32" customFormat="1" ht="11.25" customHeight="1" x14ac:dyDescent="0.25">
      <c r="A14" s="21"/>
      <c r="B14" s="153" t="s">
        <v>23</v>
      </c>
      <c r="C14" s="76"/>
      <c r="D14" s="77"/>
      <c r="E14" s="78"/>
      <c r="F14" s="78"/>
      <c r="G14" s="76" t="s">
        <v>31</v>
      </c>
      <c r="H14" s="79" t="s">
        <v>63</v>
      </c>
      <c r="I14" s="79" t="s">
        <v>64</v>
      </c>
      <c r="J14" s="80">
        <v>341</v>
      </c>
      <c r="K14" s="80" t="s">
        <v>27</v>
      </c>
      <c r="L14" s="81" t="s">
        <v>65</v>
      </c>
      <c r="M14" s="80" t="s">
        <v>66</v>
      </c>
      <c r="N14" s="82">
        <v>85000</v>
      </c>
      <c r="O14" s="83">
        <v>0</v>
      </c>
      <c r="P14" s="82">
        <f t="shared" ref="P14:P18" si="3">N14/(1-O14)</f>
        <v>85000</v>
      </c>
      <c r="Q14" s="83">
        <v>6.1499999999999999E-2</v>
      </c>
      <c r="R14" s="84">
        <f>+Q14*P14</f>
        <v>5227.5</v>
      </c>
      <c r="S14" s="85">
        <f>P14*(1-Q14)</f>
        <v>79772.5</v>
      </c>
      <c r="T14" s="75"/>
      <c r="U14" s="26"/>
      <c r="V14" s="31">
        <f>S35+S36+S48+S49+S63+S64+S65+S77+S78+S90+S91+S104+S105+S117+S118+S130+S131+S144+S145+S157+S158+S170+S171+S184+S183+S196+S197+S210+S211+S224+S225+S239+S240+S253+S254+S267+S268+S283+S284+S302+S303+S320+S321</f>
        <v>151163619.93657643</v>
      </c>
    </row>
    <row r="15" spans="1:28" s="27" customFormat="1" ht="12" customHeight="1" x14ac:dyDescent="0.25">
      <c r="A15" s="21"/>
      <c r="B15" s="86" t="s">
        <v>23</v>
      </c>
      <c r="C15" s="87"/>
      <c r="D15" s="88"/>
      <c r="E15" s="89"/>
      <c r="F15" s="89"/>
      <c r="G15" s="87" t="s">
        <v>33</v>
      </c>
      <c r="H15" s="87" t="s">
        <v>59</v>
      </c>
      <c r="I15" s="87" t="s">
        <v>55</v>
      </c>
      <c r="J15" s="90">
        <v>237</v>
      </c>
      <c r="K15" s="90" t="s">
        <v>32</v>
      </c>
      <c r="L15" s="91" t="s">
        <v>60</v>
      </c>
      <c r="M15" s="90" t="s">
        <v>61</v>
      </c>
      <c r="N15" s="92">
        <v>43375</v>
      </c>
      <c r="O15" s="93">
        <v>9.6500000000000002E-2</v>
      </c>
      <c r="P15" s="92">
        <f t="shared" si="3"/>
        <v>48007.747648035416</v>
      </c>
      <c r="Q15" s="93">
        <v>0</v>
      </c>
      <c r="R15" s="94">
        <f>+Q15*P15</f>
        <v>0</v>
      </c>
      <c r="S15" s="92">
        <f>P15*(1-Q15)</f>
        <v>48007.747648035416</v>
      </c>
      <c r="T15" s="92"/>
      <c r="U15" s="9"/>
      <c r="V15" s="30">
        <f>V10-V14</f>
        <v>6999930.4444876313</v>
      </c>
    </row>
    <row r="16" spans="1:28" s="27" customFormat="1" ht="11.25" customHeight="1" x14ac:dyDescent="0.25">
      <c r="A16" s="21"/>
      <c r="B16" s="86" t="s">
        <v>71</v>
      </c>
      <c r="C16" s="87"/>
      <c r="D16" s="88"/>
      <c r="E16" s="88"/>
      <c r="F16" s="89"/>
      <c r="G16" s="87" t="s">
        <v>34</v>
      </c>
      <c r="H16" s="87" t="s">
        <v>86</v>
      </c>
      <c r="I16" s="95" t="s">
        <v>87</v>
      </c>
      <c r="J16" s="96" t="s">
        <v>88</v>
      </c>
      <c r="K16" s="96" t="s">
        <v>89</v>
      </c>
      <c r="L16" s="97" t="s">
        <v>90</v>
      </c>
      <c r="M16" s="96" t="s">
        <v>91</v>
      </c>
      <c r="N16" s="92">
        <v>5000</v>
      </c>
      <c r="O16" s="93">
        <v>0</v>
      </c>
      <c r="P16" s="92">
        <f t="shared" si="3"/>
        <v>5000</v>
      </c>
      <c r="Q16" s="93">
        <v>0</v>
      </c>
      <c r="R16" s="94">
        <f>+Q16*P16</f>
        <v>0</v>
      </c>
      <c r="S16" s="92">
        <f>P16*(1-Q16)</f>
        <v>5000</v>
      </c>
      <c r="T16" s="92"/>
      <c r="U16" s="9"/>
      <c r="V16" s="30"/>
    </row>
    <row r="17" spans="1:22" s="27" customFormat="1" ht="11.25" customHeight="1" x14ac:dyDescent="0.25">
      <c r="A17" s="21"/>
      <c r="B17" s="86" t="s">
        <v>23</v>
      </c>
      <c r="C17" s="87"/>
      <c r="D17" s="88"/>
      <c r="E17" s="89"/>
      <c r="F17" s="89"/>
      <c r="G17" s="87" t="s">
        <v>73</v>
      </c>
      <c r="H17" s="87" t="s">
        <v>35</v>
      </c>
      <c r="I17" s="87" t="s">
        <v>36</v>
      </c>
      <c r="J17" s="90">
        <v>341</v>
      </c>
      <c r="K17" s="90" t="s">
        <v>27</v>
      </c>
      <c r="L17" s="91">
        <v>6630</v>
      </c>
      <c r="M17" s="90" t="s">
        <v>37</v>
      </c>
      <c r="N17" s="92">
        <f>54*6209</f>
        <v>335286</v>
      </c>
      <c r="O17" s="93">
        <v>0.1115</v>
      </c>
      <c r="P17" s="92">
        <f t="shared" si="3"/>
        <v>377361.84580754081</v>
      </c>
      <c r="Q17" s="93">
        <v>6.1499999999999999E-2</v>
      </c>
      <c r="R17" s="94">
        <f>Q17*P17</f>
        <v>23207.753517163761</v>
      </c>
      <c r="S17" s="92">
        <f>P17*(1-Q17)</f>
        <v>354154.09229037707</v>
      </c>
      <c r="T17" s="92" t="s">
        <v>84</v>
      </c>
      <c r="U17" s="9"/>
      <c r="V17" s="30"/>
    </row>
    <row r="18" spans="1:22" s="27" customFormat="1" ht="11.25" customHeight="1" x14ac:dyDescent="0.25">
      <c r="A18" s="21"/>
      <c r="B18" s="86" t="s">
        <v>23</v>
      </c>
      <c r="C18" s="87"/>
      <c r="D18" s="88"/>
      <c r="E18" s="89"/>
      <c r="F18" s="89"/>
      <c r="G18" s="87" t="s">
        <v>74</v>
      </c>
      <c r="H18" s="87" t="s">
        <v>35</v>
      </c>
      <c r="I18" s="87" t="s">
        <v>36</v>
      </c>
      <c r="J18" s="90">
        <v>341</v>
      </c>
      <c r="K18" s="90" t="s">
        <v>27</v>
      </c>
      <c r="L18" s="91">
        <v>6630</v>
      </c>
      <c r="M18" s="90" t="s">
        <v>37</v>
      </c>
      <c r="N18" s="92">
        <f>11*5948</f>
        <v>65428</v>
      </c>
      <c r="O18" s="93">
        <v>0.1115</v>
      </c>
      <c r="P18" s="92">
        <f t="shared" si="3"/>
        <v>73638.716938660669</v>
      </c>
      <c r="Q18" s="93">
        <v>6.1499999999999999E-2</v>
      </c>
      <c r="R18" s="94">
        <f>Q18*P18</f>
        <v>4528.7810917276311</v>
      </c>
      <c r="S18" s="92">
        <f>P18*(1-Q18)</f>
        <v>69109.935846933033</v>
      </c>
      <c r="T18" s="92" t="s">
        <v>85</v>
      </c>
      <c r="U18" s="9"/>
      <c r="V18" s="30"/>
    </row>
    <row r="19" spans="1:22" s="27" customFormat="1" ht="12" customHeight="1" x14ac:dyDescent="0.25">
      <c r="A19" s="21"/>
      <c r="B19" s="86" t="s">
        <v>23</v>
      </c>
      <c r="C19" s="87"/>
      <c r="D19" s="88"/>
      <c r="E19" s="89"/>
      <c r="F19" s="89"/>
      <c r="G19" s="87" t="s">
        <v>38</v>
      </c>
      <c r="H19" s="87" t="s">
        <v>39</v>
      </c>
      <c r="I19" s="87" t="s">
        <v>40</v>
      </c>
      <c r="J19" s="90">
        <v>341</v>
      </c>
      <c r="K19" s="90" t="s">
        <v>27</v>
      </c>
      <c r="L19" s="91" t="s">
        <v>41</v>
      </c>
      <c r="M19" s="90" t="s">
        <v>69</v>
      </c>
      <c r="N19" s="92">
        <v>12000</v>
      </c>
      <c r="O19" s="93">
        <v>0.1633</v>
      </c>
      <c r="P19" s="92">
        <f t="array" ref="P19">N19/(1-O19)</f>
        <v>14342.058085335246</v>
      </c>
      <c r="Q19" s="93">
        <v>1.4999999999999999E-2</v>
      </c>
      <c r="R19" s="94">
        <f t="shared" ref="R19:R25" si="4">+Q19*P19</f>
        <v>215.13087128002869</v>
      </c>
      <c r="S19" s="92">
        <f t="shared" si="0"/>
        <v>14126.927214055217</v>
      </c>
      <c r="T19" s="92" t="s">
        <v>62</v>
      </c>
      <c r="U19" s="9"/>
      <c r="V19" s="30"/>
    </row>
    <row r="20" spans="1:22" s="27" customFormat="1" ht="12" customHeight="1" x14ac:dyDescent="0.25">
      <c r="A20" s="21"/>
      <c r="B20" s="86" t="s">
        <v>23</v>
      </c>
      <c r="C20" s="87"/>
      <c r="D20" s="88"/>
      <c r="E20" s="89"/>
      <c r="F20" s="89"/>
      <c r="G20" s="87" t="s">
        <v>42</v>
      </c>
      <c r="H20" s="87" t="s">
        <v>39</v>
      </c>
      <c r="I20" s="87" t="s">
        <v>40</v>
      </c>
      <c r="J20" s="90">
        <v>341</v>
      </c>
      <c r="K20" s="90" t="s">
        <v>27</v>
      </c>
      <c r="L20" s="91" t="s">
        <v>41</v>
      </c>
      <c r="M20" s="90" t="s">
        <v>69</v>
      </c>
      <c r="N20" s="92">
        <v>3000</v>
      </c>
      <c r="O20" s="93">
        <v>0.1633</v>
      </c>
      <c r="P20" s="92">
        <f t="array" ref="P20">N20/(1-O20)</f>
        <v>3585.5145213338114</v>
      </c>
      <c r="Q20" s="93">
        <v>1.4999999999999999E-2</v>
      </c>
      <c r="R20" s="94">
        <f t="shared" si="4"/>
        <v>53.782717820007171</v>
      </c>
      <c r="S20" s="92">
        <f t="shared" si="0"/>
        <v>3531.7318035138042</v>
      </c>
      <c r="T20" s="92" t="s">
        <v>62</v>
      </c>
      <c r="U20" s="9"/>
      <c r="V20" s="30"/>
    </row>
    <row r="21" spans="1:22" s="27" customFormat="1" ht="12" customHeight="1" x14ac:dyDescent="0.25">
      <c r="A21" s="21"/>
      <c r="B21" s="102" t="s">
        <v>23</v>
      </c>
      <c r="C21" s="99"/>
      <c r="D21" s="100"/>
      <c r="E21" s="101"/>
      <c r="F21" s="101"/>
      <c r="G21" s="99" t="s">
        <v>43</v>
      </c>
      <c r="H21" s="99" t="s">
        <v>39</v>
      </c>
      <c r="I21" s="99" t="s">
        <v>40</v>
      </c>
      <c r="J21" s="102">
        <v>341</v>
      </c>
      <c r="K21" s="102" t="s">
        <v>27</v>
      </c>
      <c r="L21" s="103" t="s">
        <v>41</v>
      </c>
      <c r="M21" s="102" t="s">
        <v>69</v>
      </c>
      <c r="N21" s="98">
        <v>114100</v>
      </c>
      <c r="O21" s="104">
        <v>0.1633</v>
      </c>
      <c r="P21" s="98">
        <f t="array" ref="P21">N21/(1-O21)</f>
        <v>136369.06896139597</v>
      </c>
      <c r="Q21" s="104">
        <v>1.4999999999999999E-2</v>
      </c>
      <c r="R21" s="105">
        <f t="shared" si="4"/>
        <v>2045.5360344209394</v>
      </c>
      <c r="S21" s="98">
        <f>P21*(1-Q21)</f>
        <v>134323.53292697502</v>
      </c>
      <c r="T21" s="98" t="s">
        <v>62</v>
      </c>
      <c r="U21" s="9"/>
      <c r="V21" s="30"/>
    </row>
    <row r="22" spans="1:22" s="27" customFormat="1" ht="12" customHeight="1" x14ac:dyDescent="0.25">
      <c r="A22" s="21"/>
      <c r="B22" s="106" t="s">
        <v>44</v>
      </c>
      <c r="C22" s="107"/>
      <c r="D22" s="108"/>
      <c r="E22" s="107"/>
      <c r="F22" s="107"/>
      <c r="G22" s="109" t="s">
        <v>45</v>
      </c>
      <c r="H22" s="109" t="s">
        <v>46</v>
      </c>
      <c r="I22" s="109" t="s">
        <v>47</v>
      </c>
      <c r="J22" s="270"/>
      <c r="K22" s="270"/>
      <c r="L22" s="270"/>
      <c r="M22" s="270"/>
      <c r="N22" s="110"/>
      <c r="O22" s="111"/>
      <c r="P22" s="110"/>
      <c r="Q22" s="111"/>
      <c r="R22" s="112">
        <f t="shared" si="4"/>
        <v>0</v>
      </c>
      <c r="S22" s="110">
        <v>32245.013818332114</v>
      </c>
      <c r="T22" s="111" t="s">
        <v>79</v>
      </c>
      <c r="U22" s="9"/>
      <c r="V22" s="33"/>
    </row>
    <row r="23" spans="1:22" s="27" customFormat="1" ht="12" customHeight="1" x14ac:dyDescent="0.25">
      <c r="A23" s="21"/>
      <c r="B23" s="113" t="s">
        <v>44</v>
      </c>
      <c r="C23" s="114"/>
      <c r="D23" s="115"/>
      <c r="E23" s="114"/>
      <c r="F23" s="114"/>
      <c r="G23" s="116" t="s">
        <v>48</v>
      </c>
      <c r="H23" s="116" t="s">
        <v>46</v>
      </c>
      <c r="I23" s="116" t="s">
        <v>47</v>
      </c>
      <c r="J23" s="271"/>
      <c r="K23" s="271"/>
      <c r="L23" s="271"/>
      <c r="M23" s="271"/>
      <c r="N23" s="117"/>
      <c r="O23" s="118"/>
      <c r="P23" s="117"/>
      <c r="Q23" s="118"/>
      <c r="R23" s="119">
        <f t="shared" si="4"/>
        <v>0</v>
      </c>
      <c r="S23" s="117">
        <v>6034.7</v>
      </c>
      <c r="T23" s="117" t="s">
        <v>79</v>
      </c>
      <c r="U23" s="9"/>
      <c r="V23" s="33"/>
    </row>
    <row r="24" spans="1:22" s="27" customFormat="1" ht="12" customHeight="1" x14ac:dyDescent="0.2">
      <c r="A24" s="21"/>
      <c r="B24" s="113" t="s">
        <v>44</v>
      </c>
      <c r="C24" s="114"/>
      <c r="D24" s="115"/>
      <c r="E24" s="114"/>
      <c r="F24" s="114"/>
      <c r="G24" s="116" t="s">
        <v>49</v>
      </c>
      <c r="H24" s="116" t="s">
        <v>46</v>
      </c>
      <c r="I24" s="116" t="s">
        <v>47</v>
      </c>
      <c r="J24" s="271"/>
      <c r="K24" s="271"/>
      <c r="L24" s="271"/>
      <c r="M24" s="271"/>
      <c r="N24" s="117"/>
      <c r="O24" s="118"/>
      <c r="P24" s="117"/>
      <c r="Q24" s="118"/>
      <c r="R24" s="119">
        <f t="shared" si="4"/>
        <v>0</v>
      </c>
      <c r="S24" s="117">
        <v>119847.56999999998</v>
      </c>
      <c r="T24" s="117" t="s">
        <v>79</v>
      </c>
      <c r="U24" s="9"/>
      <c r="V24" s="34"/>
    </row>
    <row r="25" spans="1:22" s="27" customFormat="1" ht="12" customHeight="1" x14ac:dyDescent="0.2">
      <c r="A25" s="21"/>
      <c r="B25" s="113" t="s">
        <v>44</v>
      </c>
      <c r="C25" s="114"/>
      <c r="D25" s="115"/>
      <c r="E25" s="114"/>
      <c r="F25" s="114"/>
      <c r="G25" s="116" t="s">
        <v>50</v>
      </c>
      <c r="H25" s="116" t="s">
        <v>46</v>
      </c>
      <c r="I25" s="116" t="s">
        <v>47</v>
      </c>
      <c r="J25" s="271"/>
      <c r="K25" s="271"/>
      <c r="L25" s="271"/>
      <c r="M25" s="271"/>
      <c r="N25" s="117"/>
      <c r="O25" s="118"/>
      <c r="P25" s="117"/>
      <c r="Q25" s="118"/>
      <c r="R25" s="119">
        <f t="shared" si="4"/>
        <v>0</v>
      </c>
      <c r="S25" s="117">
        <v>2776</v>
      </c>
      <c r="T25" s="117"/>
      <c r="U25" s="9"/>
      <c r="V25" s="34"/>
    </row>
    <row r="26" spans="1:22" s="27" customFormat="1" ht="12" customHeight="1" x14ac:dyDescent="0.25">
      <c r="A26" s="21"/>
      <c r="B26" s="113" t="s">
        <v>44</v>
      </c>
      <c r="C26" s="114"/>
      <c r="D26" s="115"/>
      <c r="E26" s="114"/>
      <c r="F26" s="114"/>
      <c r="G26" s="116" t="s">
        <v>70</v>
      </c>
      <c r="H26" s="116"/>
      <c r="I26" s="116"/>
      <c r="J26" s="271"/>
      <c r="K26" s="271"/>
      <c r="L26" s="271"/>
      <c r="M26" s="271"/>
      <c r="N26" s="117"/>
      <c r="O26" s="118"/>
      <c r="P26" s="117"/>
      <c r="Q26" s="118"/>
      <c r="R26" s="119"/>
      <c r="S26" s="117">
        <v>25000</v>
      </c>
      <c r="T26" s="117"/>
      <c r="U26" s="9"/>
    </row>
    <row r="27" spans="1:22" s="27" customFormat="1" ht="12" customHeight="1" x14ac:dyDescent="0.25">
      <c r="A27" s="15"/>
      <c r="B27" s="60"/>
      <c r="C27" s="120"/>
      <c r="D27" s="17"/>
      <c r="E27" s="120"/>
      <c r="F27" s="120"/>
      <c r="G27" s="121" t="s">
        <v>51</v>
      </c>
      <c r="H27" s="121"/>
      <c r="I27" s="121"/>
      <c r="J27" s="266"/>
      <c r="K27" s="266"/>
      <c r="L27" s="266"/>
      <c r="M27" s="266"/>
      <c r="N27" s="122"/>
      <c r="O27" s="123"/>
      <c r="P27" s="122"/>
      <c r="Q27" s="123"/>
      <c r="R27" s="124"/>
      <c r="S27" s="122">
        <f>SUM(S28:S33)</f>
        <v>61163.581587505221</v>
      </c>
      <c r="T27" s="122"/>
      <c r="U27" s="20"/>
    </row>
    <row r="28" spans="1:22" s="27" customFormat="1" ht="12" customHeight="1" x14ac:dyDescent="0.2">
      <c r="A28" s="8"/>
      <c r="B28" s="70" t="s">
        <v>52</v>
      </c>
      <c r="C28" s="69"/>
      <c r="D28" s="125"/>
      <c r="E28" s="69"/>
      <c r="F28" s="69"/>
      <c r="G28" s="126" t="s">
        <v>53</v>
      </c>
      <c r="H28" s="69" t="s">
        <v>25</v>
      </c>
      <c r="I28" s="69" t="s">
        <v>26</v>
      </c>
      <c r="J28" s="267"/>
      <c r="K28" s="267"/>
      <c r="L28" s="267"/>
      <c r="M28" s="267"/>
      <c r="N28" s="68"/>
      <c r="O28" s="73"/>
      <c r="P28" s="127"/>
      <c r="Q28" s="73"/>
      <c r="R28" s="74"/>
      <c r="S28" s="68">
        <f>SUMIF($I$11:$I$26,I28,$R$11:$R$26)</f>
        <v>25885.097355092854</v>
      </c>
      <c r="T28" s="68"/>
      <c r="U28" s="20"/>
    </row>
    <row r="29" spans="1:22" s="27" customFormat="1" ht="12" customHeight="1" x14ac:dyDescent="0.2">
      <c r="A29" s="24"/>
      <c r="B29" s="128" t="s">
        <v>52</v>
      </c>
      <c r="C29" s="129"/>
      <c r="D29" s="130"/>
      <c r="E29" s="129"/>
      <c r="F29" s="129"/>
      <c r="G29" s="131" t="s">
        <v>67</v>
      </c>
      <c r="H29" s="132" t="s">
        <v>63</v>
      </c>
      <c r="I29" s="132" t="s">
        <v>64</v>
      </c>
      <c r="J29" s="128"/>
      <c r="K29" s="128"/>
      <c r="L29" s="133"/>
      <c r="M29" s="133"/>
      <c r="N29" s="134"/>
      <c r="O29" s="135"/>
      <c r="P29" s="136"/>
      <c r="Q29" s="135"/>
      <c r="R29" s="137"/>
      <c r="S29" s="134">
        <f>SUMIF($I$11:$I$26,I29,$R$11:$R$26)</f>
        <v>5227.5</v>
      </c>
      <c r="T29" s="134"/>
      <c r="U29" s="25"/>
    </row>
    <row r="30" spans="1:22" s="27" customFormat="1" ht="12" customHeight="1" x14ac:dyDescent="0.2">
      <c r="A30" s="24"/>
      <c r="B30" s="128" t="s">
        <v>52</v>
      </c>
      <c r="C30" s="129"/>
      <c r="D30" s="130"/>
      <c r="E30" s="129"/>
      <c r="F30" s="129"/>
      <c r="G30" s="131" t="s">
        <v>108</v>
      </c>
      <c r="H30" s="17" t="s">
        <v>103</v>
      </c>
      <c r="I30" s="17" t="s">
        <v>104</v>
      </c>
      <c r="J30" s="128"/>
      <c r="K30" s="128"/>
      <c r="L30" s="133"/>
      <c r="M30" s="133"/>
      <c r="N30" s="134"/>
      <c r="O30" s="135"/>
      <c r="P30" s="136"/>
      <c r="Q30" s="135"/>
      <c r="R30" s="137"/>
      <c r="S30" s="134">
        <f>SUMIF($I$11:$I$26,I30,$R$11:$R$26)</f>
        <v>0</v>
      </c>
      <c r="T30" s="134"/>
      <c r="U30" s="25"/>
    </row>
    <row r="31" spans="1:22" s="27" customFormat="1" ht="12" customHeight="1" x14ac:dyDescent="0.25">
      <c r="A31" s="8"/>
      <c r="B31" s="70" t="s">
        <v>52</v>
      </c>
      <c r="C31" s="69"/>
      <c r="D31" s="125"/>
      <c r="E31" s="69"/>
      <c r="F31" s="69"/>
      <c r="G31" s="126" t="s">
        <v>54</v>
      </c>
      <c r="H31" s="69" t="s">
        <v>59</v>
      </c>
      <c r="I31" s="69" t="s">
        <v>55</v>
      </c>
      <c r="J31" s="272"/>
      <c r="K31" s="272"/>
      <c r="L31" s="272"/>
      <c r="M31" s="272"/>
      <c r="N31" s="68"/>
      <c r="O31" s="73"/>
      <c r="P31" s="68"/>
      <c r="Q31" s="73"/>
      <c r="R31" s="74"/>
      <c r="S31" s="68">
        <f>SUMIF($I$11:$I$26,I31,$R$11:$R$26)</f>
        <v>0</v>
      </c>
      <c r="T31" s="68"/>
      <c r="U31" s="9"/>
    </row>
    <row r="32" spans="1:22" s="27" customFormat="1" ht="12" customHeight="1" x14ac:dyDescent="0.2">
      <c r="A32" s="15"/>
      <c r="B32" s="62" t="s">
        <v>52</v>
      </c>
      <c r="C32" s="17"/>
      <c r="D32" s="138"/>
      <c r="E32" s="17"/>
      <c r="F32" s="17"/>
      <c r="G32" s="139" t="s">
        <v>56</v>
      </c>
      <c r="H32" s="17" t="s">
        <v>35</v>
      </c>
      <c r="I32" s="17" t="s">
        <v>36</v>
      </c>
      <c r="J32" s="273"/>
      <c r="K32" s="273"/>
      <c r="L32" s="273"/>
      <c r="M32" s="273"/>
      <c r="N32" s="60"/>
      <c r="O32" s="65"/>
      <c r="P32" s="140"/>
      <c r="Q32" s="65"/>
      <c r="R32" s="66"/>
      <c r="S32" s="60">
        <f t="array" ref="S32">SUMIF($I$11:$I$26,I32,$R$11:$R$26)</f>
        <v>27736.534608891394</v>
      </c>
      <c r="T32" s="60"/>
      <c r="U32" s="20"/>
    </row>
    <row r="33" spans="1:24" s="27" customFormat="1" ht="12" customHeight="1" x14ac:dyDescent="0.2">
      <c r="A33" s="8"/>
      <c r="B33" s="154" t="s">
        <v>52</v>
      </c>
      <c r="C33" s="69"/>
      <c r="D33" s="125"/>
      <c r="E33" s="69"/>
      <c r="F33" s="69"/>
      <c r="G33" s="126" t="s">
        <v>57</v>
      </c>
      <c r="H33" s="69" t="s">
        <v>39</v>
      </c>
      <c r="I33" s="69" t="s">
        <v>40</v>
      </c>
      <c r="J33" s="272"/>
      <c r="K33" s="272"/>
      <c r="L33" s="272"/>
      <c r="M33" s="272"/>
      <c r="N33" s="68"/>
      <c r="O33" s="73"/>
      <c r="P33" s="68"/>
      <c r="Q33" s="73"/>
      <c r="R33" s="74"/>
      <c r="S33" s="68">
        <f t="array" ref="S33">SUMIF($I$11:$I$26,I33,$R$11:$R$26)</f>
        <v>2314.4496235209754</v>
      </c>
      <c r="T33" s="68"/>
      <c r="U33" s="20"/>
      <c r="X33" s="35" t="s">
        <v>20</v>
      </c>
    </row>
    <row r="34" spans="1:24" s="27" customFormat="1" ht="12" customHeight="1" x14ac:dyDescent="0.2">
      <c r="A34" s="8"/>
      <c r="B34" s="164" t="s">
        <v>23</v>
      </c>
      <c r="C34" s="69"/>
      <c r="D34" s="125"/>
      <c r="E34" s="69"/>
      <c r="F34" s="69"/>
      <c r="G34" s="126" t="s">
        <v>99</v>
      </c>
      <c r="H34" s="69" t="s">
        <v>46</v>
      </c>
      <c r="I34" s="69" t="s">
        <v>47</v>
      </c>
      <c r="J34" s="164">
        <v>341</v>
      </c>
      <c r="K34" s="164" t="s">
        <v>27</v>
      </c>
      <c r="L34" s="164" t="s">
        <v>100</v>
      </c>
      <c r="M34" s="164" t="s">
        <v>101</v>
      </c>
      <c r="N34" s="68"/>
      <c r="O34" s="73"/>
      <c r="P34" s="68"/>
      <c r="Q34" s="73"/>
      <c r="R34" s="74"/>
      <c r="S34" s="68">
        <v>18318.48</v>
      </c>
      <c r="T34" s="68"/>
      <c r="U34" s="20"/>
      <c r="X34" s="35"/>
    </row>
    <row r="35" spans="1:24" s="27" customFormat="1" ht="12" customHeight="1" x14ac:dyDescent="0.25">
      <c r="A35" s="21"/>
      <c r="B35" s="150" t="s">
        <v>23</v>
      </c>
      <c r="C35" s="147"/>
      <c r="D35" s="151"/>
      <c r="E35" s="147"/>
      <c r="F35" s="147"/>
      <c r="G35" s="147" t="s">
        <v>75</v>
      </c>
      <c r="H35" s="147" t="s">
        <v>46</v>
      </c>
      <c r="I35" s="147" t="s">
        <v>47</v>
      </c>
      <c r="J35" s="150">
        <v>341</v>
      </c>
      <c r="K35" s="150" t="s">
        <v>27</v>
      </c>
      <c r="L35" s="150" t="s">
        <v>76</v>
      </c>
      <c r="M35" s="150" t="s">
        <v>81</v>
      </c>
      <c r="N35" s="67"/>
      <c r="O35" s="148"/>
      <c r="P35" s="67"/>
      <c r="Q35" s="148"/>
      <c r="R35" s="149"/>
      <c r="S35" s="67">
        <v>326555.87</v>
      </c>
      <c r="T35" s="67"/>
      <c r="U35" s="30"/>
      <c r="X35" s="40"/>
    </row>
    <row r="36" spans="1:24" s="27" customFormat="1" ht="12" customHeight="1" x14ac:dyDescent="0.25">
      <c r="A36" s="21"/>
      <c r="B36" s="68" t="s">
        <v>23</v>
      </c>
      <c r="C36" s="69"/>
      <c r="D36" s="125"/>
      <c r="E36" s="69"/>
      <c r="F36" s="69"/>
      <c r="G36" s="69" t="s">
        <v>92</v>
      </c>
      <c r="H36" s="69" t="s">
        <v>96</v>
      </c>
      <c r="I36" s="69" t="s">
        <v>97</v>
      </c>
      <c r="J36" s="71" t="s">
        <v>98</v>
      </c>
      <c r="K36" s="154" t="s">
        <v>93</v>
      </c>
      <c r="L36" s="71" t="s">
        <v>95</v>
      </c>
      <c r="M36" s="71" t="s">
        <v>94</v>
      </c>
      <c r="N36" s="72"/>
      <c r="O36" s="73"/>
      <c r="P36" s="68"/>
      <c r="Q36" s="73"/>
      <c r="R36" s="74"/>
      <c r="S36" s="68">
        <f>IF(S10-SUM(S11:S27,S35)&gt;158004735,158004735,S10-SUM(S11:S27,S34:S35))</f>
        <v>9304021.5222666357</v>
      </c>
      <c r="T36" s="152"/>
      <c r="U36" s="30"/>
      <c r="X36" s="40"/>
    </row>
    <row r="37" spans="1:24" s="38" customFormat="1" ht="12" customHeight="1" x14ac:dyDescent="0.2">
      <c r="A37" s="22"/>
      <c r="B37" s="141" t="s">
        <v>21</v>
      </c>
      <c r="C37" s="142"/>
      <c r="D37" s="143"/>
      <c r="E37" s="142"/>
      <c r="F37" s="142"/>
      <c r="G37" s="144"/>
      <c r="H37" s="144"/>
      <c r="I37" s="144"/>
      <c r="J37" s="143"/>
      <c r="K37" s="143"/>
      <c r="L37" s="145"/>
      <c r="M37" s="145"/>
      <c r="N37" s="143"/>
      <c r="O37" s="143"/>
      <c r="P37" s="143"/>
      <c r="Q37" s="143"/>
      <c r="R37" s="74"/>
      <c r="S37" s="146">
        <f>S10-SUM(S11:S27,S34:S36)</f>
        <v>0</v>
      </c>
      <c r="T37" s="68"/>
      <c r="U37" s="23"/>
      <c r="V37" s="36"/>
      <c r="W37" s="37"/>
      <c r="X37" s="19" t="s">
        <v>58</v>
      </c>
    </row>
    <row r="38" spans="1:24" ht="12" customHeight="1" x14ac:dyDescent="0.2">
      <c r="B38" s="155"/>
      <c r="C38" s="156"/>
      <c r="D38" s="157"/>
      <c r="E38" s="156"/>
      <c r="F38" s="156"/>
      <c r="G38" s="158"/>
      <c r="H38" s="158"/>
      <c r="I38" s="158"/>
      <c r="J38" s="157"/>
      <c r="K38" s="157"/>
      <c r="L38" s="159"/>
      <c r="M38" s="159"/>
      <c r="N38" s="157"/>
      <c r="O38" s="157"/>
      <c r="P38" s="157"/>
      <c r="Q38" s="157"/>
      <c r="R38" s="160"/>
      <c r="S38" s="161"/>
      <c r="T38" s="162"/>
    </row>
    <row r="39" spans="1:24" ht="15" x14ac:dyDescent="0.25">
      <c r="B39" s="47" t="s">
        <v>20</v>
      </c>
      <c r="C39" s="48">
        <v>311</v>
      </c>
      <c r="D39" s="49">
        <v>43802</v>
      </c>
      <c r="E39" s="50">
        <v>1000</v>
      </c>
      <c r="F39" s="51">
        <v>24000</v>
      </c>
      <c r="G39" s="52" t="s">
        <v>20</v>
      </c>
      <c r="H39" s="53"/>
      <c r="I39" s="53"/>
      <c r="J39" s="54"/>
      <c r="K39" s="54"/>
      <c r="L39" s="55"/>
      <c r="M39" s="54"/>
      <c r="N39" s="47"/>
      <c r="O39" s="56"/>
      <c r="P39" s="47"/>
      <c r="Q39" s="56"/>
      <c r="R39" s="57"/>
      <c r="S39" s="58">
        <f>E39*F39</f>
        <v>24000000</v>
      </c>
      <c r="T39" s="68"/>
    </row>
    <row r="40" spans="1:24" ht="15" x14ac:dyDescent="0.25">
      <c r="B40" s="47" t="s">
        <v>20</v>
      </c>
      <c r="C40" s="54" t="s">
        <v>21</v>
      </c>
      <c r="D40" s="49"/>
      <c r="E40" s="50"/>
      <c r="F40" s="51"/>
      <c r="G40" s="53" t="s">
        <v>22</v>
      </c>
      <c r="H40" s="53"/>
      <c r="I40" s="53"/>
      <c r="J40" s="54"/>
      <c r="K40" s="54"/>
      <c r="L40" s="55"/>
      <c r="M40" s="54"/>
      <c r="N40" s="47"/>
      <c r="O40" s="56"/>
      <c r="P40" s="47"/>
      <c r="Q40" s="56"/>
      <c r="R40" s="57"/>
      <c r="S40" s="59">
        <f>SUM(S39:S39)</f>
        <v>24000000</v>
      </c>
      <c r="T40" s="68"/>
    </row>
    <row r="41" spans="1:24" ht="12" customHeight="1" x14ac:dyDescent="0.25">
      <c r="B41" s="150" t="s">
        <v>23</v>
      </c>
      <c r="C41" s="17"/>
      <c r="D41" s="61"/>
      <c r="E41" s="17"/>
      <c r="F41" s="17"/>
      <c r="G41" s="17" t="s">
        <v>24</v>
      </c>
      <c r="H41" s="17" t="s">
        <v>25</v>
      </c>
      <c r="I41" s="17" t="s">
        <v>26</v>
      </c>
      <c r="J41" s="62">
        <v>341</v>
      </c>
      <c r="K41" s="62" t="s">
        <v>27</v>
      </c>
      <c r="L41" s="63" t="s">
        <v>28</v>
      </c>
      <c r="M41" s="62" t="s">
        <v>29</v>
      </c>
      <c r="N41" s="64">
        <f>S40*0.5%</f>
        <v>120000</v>
      </c>
      <c r="O41" s="65">
        <v>0.1115</v>
      </c>
      <c r="P41" s="60">
        <f t="array" ref="P41">N41/(1-O41)</f>
        <v>135059.08835115362</v>
      </c>
      <c r="Q41" s="65">
        <v>6.1499999999999999E-2</v>
      </c>
      <c r="R41" s="66">
        <f>Q41*P41</f>
        <v>8306.1339335959474</v>
      </c>
      <c r="S41" s="60">
        <f t="shared" ref="S41" si="5">P41*(1-Q41)</f>
        <v>126752.95441755767</v>
      </c>
      <c r="T41" s="67" t="s">
        <v>77</v>
      </c>
    </row>
    <row r="42" spans="1:24" ht="12" customHeight="1" x14ac:dyDescent="0.25">
      <c r="B42" s="68" t="s">
        <v>23</v>
      </c>
      <c r="C42" s="69"/>
      <c r="D42" s="49"/>
      <c r="E42" s="69"/>
      <c r="F42" s="69"/>
      <c r="G42" s="69" t="s">
        <v>30</v>
      </c>
      <c r="H42" s="69" t="s">
        <v>25</v>
      </c>
      <c r="I42" s="69" t="s">
        <v>26</v>
      </c>
      <c r="J42" s="165">
        <v>341</v>
      </c>
      <c r="K42" s="165" t="s">
        <v>27</v>
      </c>
      <c r="L42" s="71" t="s">
        <v>28</v>
      </c>
      <c r="M42" s="165" t="s">
        <v>29</v>
      </c>
      <c r="N42" s="72">
        <f>S40*2%</f>
        <v>480000</v>
      </c>
      <c r="O42" s="73">
        <v>0.1115</v>
      </c>
      <c r="P42" s="68">
        <f>(N42/(1-O42))-P44</f>
        <v>480236.35340461449</v>
      </c>
      <c r="Q42" s="73">
        <v>6.1499999999999999E-2</v>
      </c>
      <c r="R42" s="74">
        <f t="array" ref="R42">Q42*P42</f>
        <v>29534.53573438379</v>
      </c>
      <c r="S42" s="68">
        <f t="array" ref="S42">P42*(1-Q42)</f>
        <v>450701.8176702307</v>
      </c>
      <c r="T42" s="152" t="s">
        <v>72</v>
      </c>
    </row>
    <row r="43" spans="1:24" ht="12" customHeight="1" x14ac:dyDescent="0.25">
      <c r="B43" s="150" t="s">
        <v>23</v>
      </c>
      <c r="C43" s="17"/>
      <c r="D43" s="61"/>
      <c r="E43" s="17"/>
      <c r="F43" s="17"/>
      <c r="G43" s="17" t="s">
        <v>83</v>
      </c>
      <c r="H43" s="17" t="s">
        <v>25</v>
      </c>
      <c r="I43" s="17" t="s">
        <v>26</v>
      </c>
      <c r="J43" s="62">
        <v>341</v>
      </c>
      <c r="K43" s="62" t="s">
        <v>27</v>
      </c>
      <c r="L43" s="63" t="s">
        <v>28</v>
      </c>
      <c r="M43" s="62" t="s">
        <v>29</v>
      </c>
      <c r="N43" s="64">
        <f>S40*0.9%</f>
        <v>216000.00000000003</v>
      </c>
      <c r="O43" s="65">
        <v>0.1115</v>
      </c>
      <c r="P43" s="60">
        <f t="shared" ref="P43" si="6">N43/(1-O43)</f>
        <v>243106.35903207658</v>
      </c>
      <c r="Q43" s="65">
        <v>6.1499999999999999E-2</v>
      </c>
      <c r="R43" s="66">
        <f>Q43*P43</f>
        <v>14951.041080472709</v>
      </c>
      <c r="S43" s="60">
        <f t="shared" ref="S43" si="7">P43*(1-Q43)</f>
        <v>228155.31795160388</v>
      </c>
      <c r="T43" s="67" t="s">
        <v>78</v>
      </c>
    </row>
    <row r="44" spans="1:24" ht="12" customHeight="1" x14ac:dyDescent="0.25">
      <c r="B44" s="150" t="s">
        <v>23</v>
      </c>
      <c r="C44" s="17"/>
      <c r="D44" s="61"/>
      <c r="E44" s="17"/>
      <c r="F44" s="17"/>
      <c r="G44" s="17" t="s">
        <v>102</v>
      </c>
      <c r="H44" s="17" t="s">
        <v>103</v>
      </c>
      <c r="I44" s="17" t="s">
        <v>104</v>
      </c>
      <c r="J44" s="62">
        <v>77</v>
      </c>
      <c r="K44" s="62" t="s">
        <v>105</v>
      </c>
      <c r="L44" s="63" t="s">
        <v>106</v>
      </c>
      <c r="M44" s="62">
        <v>40760111</v>
      </c>
      <c r="N44" s="64"/>
      <c r="O44" s="65"/>
      <c r="P44" s="60">
        <f>S40*0.25%</f>
        <v>60000</v>
      </c>
      <c r="Q44" s="65">
        <v>6.1499999999999999E-2</v>
      </c>
      <c r="R44" s="66">
        <f>Q44*P44</f>
        <v>3690</v>
      </c>
      <c r="S44" s="60">
        <f>P44*(1-Q44)</f>
        <v>56310</v>
      </c>
      <c r="T44" s="67" t="s">
        <v>107</v>
      </c>
    </row>
    <row r="45" spans="1:24" ht="12" customHeight="1" x14ac:dyDescent="0.2">
      <c r="G45" s="121" t="s">
        <v>51</v>
      </c>
      <c r="H45" s="121"/>
      <c r="I45" s="121"/>
      <c r="J45" s="266"/>
      <c r="K45" s="266"/>
      <c r="L45" s="266"/>
      <c r="M45" s="266"/>
      <c r="N45" s="122"/>
      <c r="O45" s="123"/>
      <c r="P45" s="122"/>
      <c r="Q45" s="123"/>
      <c r="R45" s="124"/>
      <c r="S45" s="122">
        <f>SUM(S46:S47)</f>
        <v>56481.710748452446</v>
      </c>
    </row>
    <row r="46" spans="1:24" ht="12" customHeight="1" x14ac:dyDescent="0.2">
      <c r="B46" s="165" t="s">
        <v>52</v>
      </c>
      <c r="C46" s="69"/>
      <c r="D46" s="125"/>
      <c r="E46" s="69"/>
      <c r="F46" s="69"/>
      <c r="G46" s="126" t="s">
        <v>53</v>
      </c>
      <c r="H46" s="69" t="s">
        <v>25</v>
      </c>
      <c r="I46" s="69" t="s">
        <v>26</v>
      </c>
      <c r="J46" s="267"/>
      <c r="K46" s="267"/>
      <c r="L46" s="267"/>
      <c r="M46" s="267"/>
      <c r="N46" s="68"/>
      <c r="O46" s="73"/>
      <c r="P46" s="127"/>
      <c r="Q46" s="73"/>
      <c r="R46" s="74"/>
      <c r="S46" s="68">
        <f>SUM(R41:R43)</f>
        <v>52791.710748452446</v>
      </c>
      <c r="T46" s="68"/>
    </row>
    <row r="47" spans="1:24" ht="12" customHeight="1" x14ac:dyDescent="0.2">
      <c r="B47" s="168" t="s">
        <v>52</v>
      </c>
      <c r="C47" s="69"/>
      <c r="D47" s="125"/>
      <c r="E47" s="69"/>
      <c r="F47" s="69"/>
      <c r="G47" s="126" t="s">
        <v>108</v>
      </c>
      <c r="H47" s="69" t="s">
        <v>103</v>
      </c>
      <c r="I47" s="69" t="s">
        <v>104</v>
      </c>
      <c r="J47" s="167"/>
      <c r="K47" s="167"/>
      <c r="L47" s="167"/>
      <c r="M47" s="167"/>
      <c r="N47" s="68"/>
      <c r="O47" s="73"/>
      <c r="P47" s="127"/>
      <c r="Q47" s="73"/>
      <c r="R47" s="74"/>
      <c r="S47" s="68">
        <f>SUM(R44)</f>
        <v>3690</v>
      </c>
      <c r="T47" s="68"/>
    </row>
    <row r="48" spans="1:24" ht="12" customHeight="1" x14ac:dyDescent="0.2">
      <c r="B48" s="150" t="s">
        <v>23</v>
      </c>
      <c r="C48" s="147"/>
      <c r="D48" s="151"/>
      <c r="E48" s="147"/>
      <c r="F48" s="147"/>
      <c r="G48" s="147" t="s">
        <v>75</v>
      </c>
      <c r="H48" s="147" t="s">
        <v>46</v>
      </c>
      <c r="I48" s="147" t="s">
        <v>47</v>
      </c>
      <c r="J48" s="150">
        <v>341</v>
      </c>
      <c r="K48" s="150" t="s">
        <v>27</v>
      </c>
      <c r="L48" s="150" t="s">
        <v>76</v>
      </c>
      <c r="M48" s="150" t="s">
        <v>81</v>
      </c>
      <c r="N48" s="67"/>
      <c r="O48" s="148"/>
      <c r="P48" s="67"/>
      <c r="Q48" s="148"/>
      <c r="R48" s="149"/>
      <c r="S48" s="67">
        <v>380038.36</v>
      </c>
    </row>
    <row r="49" spans="2:20" ht="12" customHeight="1" x14ac:dyDescent="0.2">
      <c r="B49" s="68" t="s">
        <v>23</v>
      </c>
      <c r="C49" s="69"/>
      <c r="D49" s="125"/>
      <c r="E49" s="69"/>
      <c r="F49" s="69"/>
      <c r="G49" s="69" t="s">
        <v>92</v>
      </c>
      <c r="H49" s="69" t="s">
        <v>96</v>
      </c>
      <c r="I49" s="69" t="s">
        <v>97</v>
      </c>
      <c r="J49" s="71" t="s">
        <v>98</v>
      </c>
      <c r="K49" s="165" t="s">
        <v>93</v>
      </c>
      <c r="L49" s="71" t="s">
        <v>95</v>
      </c>
      <c r="M49" s="71" t="s">
        <v>94</v>
      </c>
      <c r="N49" s="72"/>
      <c r="O49" s="73"/>
      <c r="P49" s="68"/>
      <c r="Q49" s="73"/>
      <c r="R49" s="74"/>
      <c r="S49" s="68">
        <f>S40-SUM(S41:S45,S48)</f>
        <v>22701559.839212157</v>
      </c>
    </row>
    <row r="50" spans="2:20" ht="12" customHeight="1" x14ac:dyDescent="0.2">
      <c r="B50" s="141" t="s">
        <v>21</v>
      </c>
      <c r="C50" s="142"/>
      <c r="D50" s="143"/>
      <c r="E50" s="142"/>
      <c r="F50" s="142"/>
      <c r="G50" s="144"/>
      <c r="H50" s="144"/>
      <c r="I50" s="144"/>
      <c r="J50" s="143"/>
      <c r="K50" s="143"/>
      <c r="L50" s="145"/>
      <c r="M50" s="145"/>
      <c r="N50" s="143"/>
      <c r="O50" s="143"/>
      <c r="P50" s="143"/>
      <c r="Q50" s="143"/>
      <c r="R50" s="74"/>
      <c r="S50" s="146">
        <f>S40-SUM(S41:S45,S48:S49)</f>
        <v>0</v>
      </c>
      <c r="T50" s="68"/>
    </row>
    <row r="51" spans="2:20" ht="12" customHeight="1" x14ac:dyDescent="0.2">
      <c r="B51" s="155"/>
      <c r="C51" s="156"/>
      <c r="D51" s="157"/>
      <c r="E51" s="156"/>
      <c r="F51" s="156"/>
      <c r="G51" s="158"/>
      <c r="H51" s="158"/>
      <c r="I51" s="158"/>
      <c r="J51" s="157"/>
      <c r="K51" s="157"/>
      <c r="L51" s="159"/>
      <c r="M51" s="159"/>
      <c r="N51" s="157"/>
      <c r="O51" s="157"/>
      <c r="P51" s="157"/>
      <c r="Q51" s="157"/>
      <c r="R51" s="160"/>
      <c r="S51" s="161"/>
      <c r="T51" s="162"/>
    </row>
    <row r="52" spans="2:20" ht="15" x14ac:dyDescent="0.25">
      <c r="B52" s="47" t="s">
        <v>20</v>
      </c>
      <c r="C52" s="48">
        <v>311</v>
      </c>
      <c r="D52" s="49">
        <v>43812</v>
      </c>
      <c r="E52" s="50">
        <v>1003.24995424</v>
      </c>
      <c r="F52" s="51">
        <v>6000</v>
      </c>
      <c r="G52" s="52" t="s">
        <v>20</v>
      </c>
      <c r="H52" s="53"/>
      <c r="I52" s="53"/>
      <c r="J52" s="54"/>
      <c r="K52" s="54"/>
      <c r="L52" s="55"/>
      <c r="M52" s="54"/>
      <c r="N52" s="47"/>
      <c r="O52" s="56"/>
      <c r="P52" s="47"/>
      <c r="Q52" s="56"/>
      <c r="R52" s="57"/>
      <c r="S52" s="58">
        <f>E52*F52</f>
        <v>6019499.7254400002</v>
      </c>
      <c r="T52" s="68"/>
    </row>
    <row r="53" spans="2:20" ht="15" x14ac:dyDescent="0.25">
      <c r="B53" s="47" t="s">
        <v>20</v>
      </c>
      <c r="C53" s="48">
        <v>312</v>
      </c>
      <c r="D53" s="49">
        <v>43812</v>
      </c>
      <c r="E53" s="50">
        <v>1006.91294083</v>
      </c>
      <c r="F53" s="51">
        <v>3000</v>
      </c>
      <c r="G53" s="52" t="s">
        <v>20</v>
      </c>
      <c r="H53" s="53"/>
      <c r="I53" s="53"/>
      <c r="J53" s="54"/>
      <c r="K53" s="54"/>
      <c r="L53" s="55"/>
      <c r="M53" s="54"/>
      <c r="N53" s="47"/>
      <c r="O53" s="56"/>
      <c r="P53" s="47"/>
      <c r="Q53" s="56"/>
      <c r="R53" s="57"/>
      <c r="S53" s="58">
        <f t="shared" ref="S53:S54" si="8">E53*F53</f>
        <v>3020738.8224900002</v>
      </c>
      <c r="T53" s="68"/>
    </row>
    <row r="54" spans="2:20" ht="15" x14ac:dyDescent="0.25">
      <c r="B54" s="47" t="s">
        <v>20</v>
      </c>
      <c r="C54" s="48">
        <v>313</v>
      </c>
      <c r="D54" s="49">
        <v>43812</v>
      </c>
      <c r="E54" s="50">
        <v>1009.3101179</v>
      </c>
      <c r="F54" s="51">
        <v>2000</v>
      </c>
      <c r="G54" s="52" t="s">
        <v>20</v>
      </c>
      <c r="H54" s="53"/>
      <c r="I54" s="53"/>
      <c r="J54" s="54"/>
      <c r="K54" s="54"/>
      <c r="L54" s="55"/>
      <c r="M54" s="54"/>
      <c r="N54" s="47"/>
      <c r="O54" s="56"/>
      <c r="P54" s="47"/>
      <c r="Q54" s="56"/>
      <c r="R54" s="57"/>
      <c r="S54" s="58">
        <f t="shared" si="8"/>
        <v>2018620.2358000001</v>
      </c>
      <c r="T54" s="68"/>
    </row>
    <row r="55" spans="2:20" ht="15" x14ac:dyDescent="0.25">
      <c r="B55" s="47" t="s">
        <v>20</v>
      </c>
      <c r="C55" s="54" t="s">
        <v>21</v>
      </c>
      <c r="D55" s="49"/>
      <c r="E55" s="50"/>
      <c r="F55" s="51"/>
      <c r="G55" s="53" t="s">
        <v>22</v>
      </c>
      <c r="H55" s="53"/>
      <c r="I55" s="53"/>
      <c r="J55" s="54"/>
      <c r="K55" s="54"/>
      <c r="L55" s="55"/>
      <c r="M55" s="54"/>
      <c r="N55" s="47"/>
      <c r="O55" s="56"/>
      <c r="P55" s="47"/>
      <c r="Q55" s="56"/>
      <c r="R55" s="57"/>
      <c r="S55" s="59">
        <f>SUM(S52:S54)</f>
        <v>11058858.78373</v>
      </c>
      <c r="T55" s="68"/>
    </row>
    <row r="56" spans="2:20" ht="12" customHeight="1" x14ac:dyDescent="0.25">
      <c r="B56" s="150" t="s">
        <v>23</v>
      </c>
      <c r="C56" s="17"/>
      <c r="D56" s="61"/>
      <c r="E56" s="17"/>
      <c r="F56" s="17"/>
      <c r="G56" s="17" t="s">
        <v>24</v>
      </c>
      <c r="H56" s="17" t="s">
        <v>25</v>
      </c>
      <c r="I56" s="17" t="s">
        <v>26</v>
      </c>
      <c r="J56" s="62">
        <v>341</v>
      </c>
      <c r="K56" s="62" t="s">
        <v>27</v>
      </c>
      <c r="L56" s="63" t="s">
        <v>28</v>
      </c>
      <c r="M56" s="62" t="s">
        <v>29</v>
      </c>
      <c r="N56" s="64">
        <f t="array" ref="N56">S55*0.5%</f>
        <v>55294.293918650001</v>
      </c>
      <c r="O56" s="65">
        <v>0.1115</v>
      </c>
      <c r="P56" s="60">
        <f t="array" ref="P56">N56/(1-O56)</f>
        <v>62233.3077306134</v>
      </c>
      <c r="Q56" s="65">
        <v>6.1499999999999999E-2</v>
      </c>
      <c r="R56" s="66">
        <f>Q56*P56</f>
        <v>3827.3484254327241</v>
      </c>
      <c r="S56" s="60">
        <f t="shared" ref="S56" si="9">P56*(1-Q56)</f>
        <v>58405.959305180673</v>
      </c>
      <c r="T56" s="67" t="s">
        <v>77</v>
      </c>
    </row>
    <row r="57" spans="2:20" ht="12" customHeight="1" x14ac:dyDescent="0.25">
      <c r="B57" s="68" t="s">
        <v>23</v>
      </c>
      <c r="C57" s="69"/>
      <c r="D57" s="49"/>
      <c r="E57" s="69"/>
      <c r="F57" s="69"/>
      <c r="G57" s="69" t="s">
        <v>30</v>
      </c>
      <c r="H57" s="69" t="s">
        <v>25</v>
      </c>
      <c r="I57" s="69" t="s">
        <v>26</v>
      </c>
      <c r="J57" s="169">
        <v>341</v>
      </c>
      <c r="K57" s="169" t="s">
        <v>27</v>
      </c>
      <c r="L57" s="71" t="s">
        <v>28</v>
      </c>
      <c r="M57" s="169" t="s">
        <v>29</v>
      </c>
      <c r="N57" s="72">
        <f>S55*2%</f>
        <v>221177.1756746</v>
      </c>
      <c r="O57" s="73">
        <v>0.1115</v>
      </c>
      <c r="P57" s="68">
        <f>(N57/(1-O57))-P59</f>
        <v>221286.08396312859</v>
      </c>
      <c r="Q57" s="73">
        <v>6.1499999999999999E-2</v>
      </c>
      <c r="R57" s="74">
        <f t="array" ref="R57">Q57*P57</f>
        <v>13609.094163732409</v>
      </c>
      <c r="S57" s="68">
        <f>P57*(1-Q57)</f>
        <v>207676.98979939619</v>
      </c>
      <c r="T57" s="152" t="s">
        <v>72</v>
      </c>
    </row>
    <row r="58" spans="2:20" ht="12" customHeight="1" x14ac:dyDescent="0.25">
      <c r="B58" s="150" t="s">
        <v>23</v>
      </c>
      <c r="C58" s="17"/>
      <c r="D58" s="61"/>
      <c r="E58" s="17"/>
      <c r="F58" s="17"/>
      <c r="G58" s="17" t="s">
        <v>83</v>
      </c>
      <c r="H58" s="17" t="s">
        <v>25</v>
      </c>
      <c r="I58" s="17" t="s">
        <v>26</v>
      </c>
      <c r="J58" s="62">
        <v>341</v>
      </c>
      <c r="K58" s="62" t="s">
        <v>27</v>
      </c>
      <c r="L58" s="63" t="s">
        <v>28</v>
      </c>
      <c r="M58" s="62" t="s">
        <v>29</v>
      </c>
      <c r="N58" s="64">
        <f>S55*0.9%</f>
        <v>99529.729053570016</v>
      </c>
      <c r="O58" s="65">
        <v>0.1115</v>
      </c>
      <c r="P58" s="60">
        <f t="shared" ref="P58" si="10">N58/(1-O58)</f>
        <v>112019.95391510412</v>
      </c>
      <c r="Q58" s="65">
        <v>6.1499999999999999E-2</v>
      </c>
      <c r="R58" s="66">
        <f>Q58*P58</f>
        <v>6889.2271657789033</v>
      </c>
      <c r="S58" s="60">
        <f>P58*(1-Q58)</f>
        <v>105130.72674932521</v>
      </c>
      <c r="T58" s="67" t="s">
        <v>78</v>
      </c>
    </row>
    <row r="59" spans="2:20" ht="12" customHeight="1" x14ac:dyDescent="0.25">
      <c r="B59" s="150" t="s">
        <v>23</v>
      </c>
      <c r="C59" s="17"/>
      <c r="D59" s="61"/>
      <c r="E59" s="17"/>
      <c r="F59" s="17"/>
      <c r="G59" s="17" t="s">
        <v>102</v>
      </c>
      <c r="H59" s="17" t="s">
        <v>103</v>
      </c>
      <c r="I59" s="17" t="s">
        <v>104</v>
      </c>
      <c r="J59" s="62">
        <v>77</v>
      </c>
      <c r="K59" s="62" t="s">
        <v>105</v>
      </c>
      <c r="L59" s="63" t="s">
        <v>106</v>
      </c>
      <c r="M59" s="62">
        <v>40760111</v>
      </c>
      <c r="N59" s="64"/>
      <c r="O59" s="65"/>
      <c r="P59" s="60">
        <f>S55*0.25%</f>
        <v>27647.146959325</v>
      </c>
      <c r="Q59" s="65">
        <v>6.1499999999999999E-2</v>
      </c>
      <c r="R59" s="66">
        <f t="array" ref="R59">Q59*P59</f>
        <v>1700.2995379984875</v>
      </c>
      <c r="S59" s="60">
        <f>P59*(1-Q59)</f>
        <v>25946.847421326514</v>
      </c>
      <c r="T59" s="67" t="s">
        <v>107</v>
      </c>
    </row>
    <row r="60" spans="2:20" ht="12" customHeight="1" x14ac:dyDescent="0.2">
      <c r="G60" s="121" t="s">
        <v>51</v>
      </c>
      <c r="H60" s="121"/>
      <c r="I60" s="121"/>
      <c r="J60" s="266"/>
      <c r="K60" s="266"/>
      <c r="L60" s="266"/>
      <c r="M60" s="266"/>
      <c r="N60" s="122"/>
      <c r="O60" s="123"/>
      <c r="P60" s="122"/>
      <c r="Q60" s="123"/>
      <c r="R60" s="124"/>
      <c r="S60" s="122">
        <f>SUM(S61:S62)</f>
        <v>26025.969292942522</v>
      </c>
    </row>
    <row r="61" spans="2:20" ht="12" customHeight="1" x14ac:dyDescent="0.2">
      <c r="B61" s="169" t="s">
        <v>52</v>
      </c>
      <c r="C61" s="69"/>
      <c r="D61" s="125"/>
      <c r="E61" s="69"/>
      <c r="F61" s="69"/>
      <c r="G61" s="126" t="s">
        <v>53</v>
      </c>
      <c r="H61" s="69" t="s">
        <v>25</v>
      </c>
      <c r="I61" s="69" t="s">
        <v>26</v>
      </c>
      <c r="J61" s="267"/>
      <c r="K61" s="267"/>
      <c r="L61" s="267"/>
      <c r="M61" s="267"/>
      <c r="N61" s="68"/>
      <c r="O61" s="73"/>
      <c r="P61" s="127"/>
      <c r="Q61" s="73"/>
      <c r="R61" s="74"/>
      <c r="S61" s="68">
        <f t="array" ref="S61">SUM(R56:R58)</f>
        <v>24325.669754944036</v>
      </c>
      <c r="T61" s="68"/>
    </row>
    <row r="62" spans="2:20" ht="12" customHeight="1" x14ac:dyDescent="0.2">
      <c r="B62" s="169" t="s">
        <v>52</v>
      </c>
      <c r="C62" s="69"/>
      <c r="D62" s="125"/>
      <c r="E62" s="69"/>
      <c r="F62" s="69"/>
      <c r="G62" s="126" t="s">
        <v>108</v>
      </c>
      <c r="H62" s="69" t="s">
        <v>103</v>
      </c>
      <c r="I62" s="69" t="s">
        <v>104</v>
      </c>
      <c r="J62" s="170"/>
      <c r="K62" s="170"/>
      <c r="L62" s="170"/>
      <c r="M62" s="170"/>
      <c r="N62" s="68"/>
      <c r="O62" s="73"/>
      <c r="P62" s="127"/>
      <c r="Q62" s="73"/>
      <c r="R62" s="74"/>
      <c r="S62" s="68">
        <f t="array" ref="S62">SUM(R59)</f>
        <v>1700.2995379984875</v>
      </c>
      <c r="T62" s="68"/>
    </row>
    <row r="63" spans="2:20" ht="12" customHeight="1" x14ac:dyDescent="0.2">
      <c r="B63" s="150" t="s">
        <v>23</v>
      </c>
      <c r="C63" s="147"/>
      <c r="D63" s="151"/>
      <c r="E63" s="147"/>
      <c r="F63" s="147"/>
      <c r="G63" s="147" t="s">
        <v>75</v>
      </c>
      <c r="H63" s="147" t="s">
        <v>46</v>
      </c>
      <c r="I63" s="147" t="s">
        <v>47</v>
      </c>
      <c r="J63" s="150">
        <v>341</v>
      </c>
      <c r="K63" s="150" t="s">
        <v>27</v>
      </c>
      <c r="L63" s="150" t="s">
        <v>76</v>
      </c>
      <c r="M63" s="150" t="s">
        <v>81</v>
      </c>
      <c r="N63" s="67"/>
      <c r="O63" s="148"/>
      <c r="P63" s="67"/>
      <c r="Q63" s="148"/>
      <c r="R63" s="149"/>
      <c r="S63" s="67">
        <v>233420.19</v>
      </c>
    </row>
    <row r="64" spans="2:20" ht="12" customHeight="1" x14ac:dyDescent="0.2">
      <c r="B64" s="68" t="s">
        <v>23</v>
      </c>
      <c r="C64" s="69"/>
      <c r="D64" s="125"/>
      <c r="E64" s="69"/>
      <c r="F64" s="69"/>
      <c r="G64" s="69" t="s">
        <v>92</v>
      </c>
      <c r="H64" s="69" t="s">
        <v>96</v>
      </c>
      <c r="I64" s="69" t="s">
        <v>97</v>
      </c>
      <c r="J64" s="71" t="s">
        <v>98</v>
      </c>
      <c r="K64" s="169" t="s">
        <v>93</v>
      </c>
      <c r="L64" s="71" t="s">
        <v>95</v>
      </c>
      <c r="M64" s="71" t="s">
        <v>94</v>
      </c>
      <c r="N64" s="72"/>
      <c r="O64" s="73"/>
      <c r="P64" s="68"/>
      <c r="Q64" s="73"/>
      <c r="R64" s="74"/>
      <c r="S64" s="68">
        <f t="array" ref="S64">S55-SUM(S56:S60,S63)-S65</f>
        <v>7994418.6385212103</v>
      </c>
      <c r="T64" s="68"/>
    </row>
    <row r="65" spans="1:20" s="173" customFormat="1" ht="12" customHeight="1" x14ac:dyDescent="0.2">
      <c r="A65" s="171"/>
      <c r="B65" s="134" t="s">
        <v>23</v>
      </c>
      <c r="C65" s="129"/>
      <c r="D65" s="130"/>
      <c r="E65" s="129"/>
      <c r="F65" s="129"/>
      <c r="G65" s="129" t="s">
        <v>110</v>
      </c>
      <c r="H65" s="147" t="s">
        <v>46</v>
      </c>
      <c r="I65" s="147" t="s">
        <v>47</v>
      </c>
      <c r="J65" s="150">
        <v>341</v>
      </c>
      <c r="K65" s="150" t="s">
        <v>27</v>
      </c>
      <c r="L65" s="133" t="s">
        <v>76</v>
      </c>
      <c r="M65" s="133" t="s">
        <v>81</v>
      </c>
      <c r="N65" s="172"/>
      <c r="O65" s="135"/>
      <c r="P65" s="134"/>
      <c r="Q65" s="135"/>
      <c r="R65" s="137"/>
      <c r="S65" s="134">
        <v>2407833.4626406198</v>
      </c>
    </row>
    <row r="66" spans="1:20" ht="12" customHeight="1" x14ac:dyDescent="0.2">
      <c r="B66" s="141" t="s">
        <v>21</v>
      </c>
      <c r="C66" s="142"/>
      <c r="D66" s="143"/>
      <c r="E66" s="142"/>
      <c r="F66" s="142"/>
      <c r="G66" s="144"/>
      <c r="H66" s="144"/>
      <c r="I66" s="144"/>
      <c r="J66" s="143"/>
      <c r="K66" s="143"/>
      <c r="L66" s="145"/>
      <c r="M66" s="145"/>
      <c r="N66" s="143"/>
      <c r="O66" s="143"/>
      <c r="P66" s="143"/>
      <c r="Q66" s="143"/>
      <c r="R66" s="74"/>
      <c r="S66" s="146">
        <f>S55-SUM(S56:S60,S63:S65)</f>
        <v>0</v>
      </c>
      <c r="T66" s="68"/>
    </row>
    <row r="67" spans="1:20" ht="12" customHeight="1" x14ac:dyDescent="0.2">
      <c r="B67" s="155"/>
      <c r="C67" s="156"/>
      <c r="D67" s="157"/>
      <c r="E67" s="156"/>
      <c r="F67" s="156"/>
      <c r="G67" s="158"/>
      <c r="H67" s="158"/>
      <c r="I67" s="158"/>
      <c r="J67" s="157"/>
      <c r="K67" s="157"/>
      <c r="L67" s="159"/>
      <c r="M67" s="159"/>
      <c r="N67" s="157"/>
      <c r="O67" s="157"/>
      <c r="P67" s="157"/>
      <c r="Q67" s="157"/>
      <c r="R67" s="160"/>
      <c r="S67" s="161"/>
      <c r="T67" s="162"/>
    </row>
    <row r="68" spans="1:20" ht="15" x14ac:dyDescent="0.25">
      <c r="B68" s="47" t="s">
        <v>20</v>
      </c>
      <c r="C68" s="48">
        <v>313</v>
      </c>
      <c r="D68" s="49">
        <v>43815</v>
      </c>
      <c r="E68" s="50">
        <v>1010.08986678</v>
      </c>
      <c r="F68" s="51">
        <v>2688</v>
      </c>
      <c r="G68" s="52" t="s">
        <v>20</v>
      </c>
      <c r="H68" s="53"/>
      <c r="I68" s="53"/>
      <c r="J68" s="54"/>
      <c r="K68" s="54"/>
      <c r="L68" s="55"/>
      <c r="M68" s="54"/>
      <c r="N68" s="47"/>
      <c r="O68" s="56"/>
      <c r="P68" s="47"/>
      <c r="Q68" s="56"/>
      <c r="R68" s="57"/>
      <c r="S68" s="58">
        <f t="shared" ref="S68" si="11">E68*F68</f>
        <v>2715121.5619046399</v>
      </c>
      <c r="T68" s="68"/>
    </row>
    <row r="69" spans="1:20" ht="12" customHeight="1" x14ac:dyDescent="0.25">
      <c r="B69" s="47" t="s">
        <v>20</v>
      </c>
      <c r="C69" s="48" t="s">
        <v>21</v>
      </c>
      <c r="D69" s="49"/>
      <c r="E69" s="50"/>
      <c r="F69" s="51"/>
      <c r="G69" s="52" t="s">
        <v>22</v>
      </c>
      <c r="H69" s="53"/>
      <c r="I69" s="53"/>
      <c r="J69" s="54"/>
      <c r="K69" s="54"/>
      <c r="L69" s="55"/>
      <c r="M69" s="54"/>
      <c r="N69" s="47"/>
      <c r="O69" s="56"/>
      <c r="P69" s="47"/>
      <c r="Q69" s="56"/>
      <c r="R69" s="57"/>
      <c r="S69" s="58">
        <f>SUM(S68:S68)</f>
        <v>2715121.5619046399</v>
      </c>
      <c r="T69" s="68"/>
    </row>
    <row r="70" spans="1:20" ht="12" customHeight="1" x14ac:dyDescent="0.25">
      <c r="B70" s="150" t="s">
        <v>23</v>
      </c>
      <c r="C70" s="17"/>
      <c r="D70" s="61"/>
      <c r="E70" s="17"/>
      <c r="F70" s="17"/>
      <c r="G70" s="17" t="s">
        <v>24</v>
      </c>
      <c r="H70" s="17" t="s">
        <v>25</v>
      </c>
      <c r="I70" s="17" t="s">
        <v>26</v>
      </c>
      <c r="J70" s="62">
        <v>341</v>
      </c>
      <c r="K70" s="62" t="s">
        <v>27</v>
      </c>
      <c r="L70" s="63" t="s">
        <v>28</v>
      </c>
      <c r="M70" s="62" t="s">
        <v>29</v>
      </c>
      <c r="N70" s="64">
        <f t="array" ref="N70">S69*0.5%</f>
        <v>13575.607809523201</v>
      </c>
      <c r="O70" s="65">
        <v>0.1115</v>
      </c>
      <c r="P70" s="60">
        <f t="array" ref="P70">N70/(1-O70)</f>
        <v>15279.243454725043</v>
      </c>
      <c r="Q70" s="65">
        <v>6.1499999999999999E-2</v>
      </c>
      <c r="R70" s="66">
        <f>Q70*P70</f>
        <v>939.67347246559018</v>
      </c>
      <c r="S70" s="60">
        <f t="shared" ref="S70" si="12">P70*(1-Q70)</f>
        <v>14339.569982259452</v>
      </c>
      <c r="T70" s="67" t="s">
        <v>77</v>
      </c>
    </row>
    <row r="71" spans="1:20" ht="12" customHeight="1" x14ac:dyDescent="0.25">
      <c r="B71" s="68" t="s">
        <v>23</v>
      </c>
      <c r="C71" s="69"/>
      <c r="D71" s="49"/>
      <c r="E71" s="69"/>
      <c r="F71" s="69"/>
      <c r="G71" s="69" t="s">
        <v>30</v>
      </c>
      <c r="H71" s="69" t="s">
        <v>25</v>
      </c>
      <c r="I71" s="69" t="s">
        <v>26</v>
      </c>
      <c r="J71" s="175">
        <v>341</v>
      </c>
      <c r="K71" s="175" t="s">
        <v>27</v>
      </c>
      <c r="L71" s="71" t="s">
        <v>28</v>
      </c>
      <c r="M71" s="175" t="s">
        <v>29</v>
      </c>
      <c r="N71" s="72">
        <f>S69*2%</f>
        <v>54302.431238092802</v>
      </c>
      <c r="O71" s="73">
        <v>0.1115</v>
      </c>
      <c r="P71" s="68">
        <f>(N71/(1-O71))-P73</f>
        <v>54329.169914138576</v>
      </c>
      <c r="Q71" s="73">
        <v>6.1499999999999999E-2</v>
      </c>
      <c r="R71" s="74">
        <f t="array" ref="R71">Q71*P71</f>
        <v>3341.2439497195223</v>
      </c>
      <c r="S71" s="68">
        <f>P71*(1-Q71)</f>
        <v>50987.925964419053</v>
      </c>
      <c r="T71" s="152" t="s">
        <v>72</v>
      </c>
    </row>
    <row r="72" spans="1:20" ht="12" customHeight="1" x14ac:dyDescent="0.25">
      <c r="B72" s="150" t="s">
        <v>23</v>
      </c>
      <c r="C72" s="17"/>
      <c r="D72" s="61"/>
      <c r="E72" s="17"/>
      <c r="F72" s="17"/>
      <c r="G72" s="17" t="s">
        <v>83</v>
      </c>
      <c r="H72" s="17" t="s">
        <v>25</v>
      </c>
      <c r="I72" s="17" t="s">
        <v>26</v>
      </c>
      <c r="J72" s="62">
        <v>341</v>
      </c>
      <c r="K72" s="62" t="s">
        <v>27</v>
      </c>
      <c r="L72" s="63" t="s">
        <v>28</v>
      </c>
      <c r="M72" s="62" t="s">
        <v>29</v>
      </c>
      <c r="N72" s="64">
        <f>S69*0.9%</f>
        <v>24436.094057141763</v>
      </c>
      <c r="O72" s="65">
        <v>0.1115</v>
      </c>
      <c r="P72" s="60">
        <f t="shared" ref="P72" si="13">N72/(1-O72)</f>
        <v>27502.638218505082</v>
      </c>
      <c r="Q72" s="65">
        <v>6.1499999999999999E-2</v>
      </c>
      <c r="R72" s="66">
        <f>Q72*P72</f>
        <v>1691.4122504380625</v>
      </c>
      <c r="S72" s="60">
        <f>P72*(1-Q72)</f>
        <v>25811.225968067021</v>
      </c>
      <c r="T72" s="67" t="s">
        <v>78</v>
      </c>
    </row>
    <row r="73" spans="1:20" ht="12" customHeight="1" x14ac:dyDescent="0.25">
      <c r="B73" s="150" t="s">
        <v>23</v>
      </c>
      <c r="C73" s="17"/>
      <c r="D73" s="61"/>
      <c r="E73" s="17"/>
      <c r="F73" s="17"/>
      <c r="G73" s="17" t="s">
        <v>102</v>
      </c>
      <c r="H73" s="17" t="s">
        <v>103</v>
      </c>
      <c r="I73" s="17" t="s">
        <v>104</v>
      </c>
      <c r="J73" s="62">
        <v>77</v>
      </c>
      <c r="K73" s="62" t="s">
        <v>105</v>
      </c>
      <c r="L73" s="63" t="s">
        <v>106</v>
      </c>
      <c r="M73" s="62">
        <v>40760111</v>
      </c>
      <c r="N73" s="64"/>
      <c r="O73" s="65"/>
      <c r="P73" s="60">
        <f>S69*0.25%</f>
        <v>6787.8039047616003</v>
      </c>
      <c r="Q73" s="65">
        <v>6.1499999999999999E-2</v>
      </c>
      <c r="R73" s="66">
        <f>Q73*P73</f>
        <v>417.44994014283839</v>
      </c>
      <c r="S73" s="60">
        <f>P73*(1-Q73)</f>
        <v>6370.3539646187619</v>
      </c>
      <c r="T73" s="67" t="s">
        <v>107</v>
      </c>
    </row>
    <row r="74" spans="1:20" ht="12" customHeight="1" x14ac:dyDescent="0.2">
      <c r="G74" s="121" t="s">
        <v>51</v>
      </c>
      <c r="H74" s="121"/>
      <c r="I74" s="121"/>
      <c r="J74" s="266"/>
      <c r="K74" s="266"/>
      <c r="L74" s="266"/>
      <c r="M74" s="266"/>
      <c r="N74" s="122"/>
      <c r="O74" s="123"/>
      <c r="P74" s="122"/>
      <c r="Q74" s="123"/>
      <c r="R74" s="124"/>
      <c r="S74" s="122">
        <f>SUM(S75:S76)</f>
        <v>6389.7796127660131</v>
      </c>
    </row>
    <row r="75" spans="1:20" ht="12" customHeight="1" x14ac:dyDescent="0.2">
      <c r="B75" s="175" t="s">
        <v>52</v>
      </c>
      <c r="C75" s="69"/>
      <c r="D75" s="125"/>
      <c r="E75" s="69"/>
      <c r="F75" s="69"/>
      <c r="G75" s="126" t="s">
        <v>53</v>
      </c>
      <c r="H75" s="69" t="s">
        <v>25</v>
      </c>
      <c r="I75" s="69" t="s">
        <v>26</v>
      </c>
      <c r="J75" s="267"/>
      <c r="K75" s="267"/>
      <c r="L75" s="267"/>
      <c r="M75" s="267"/>
      <c r="N75" s="68"/>
      <c r="O75" s="73"/>
      <c r="P75" s="127"/>
      <c r="Q75" s="73"/>
      <c r="R75" s="74"/>
      <c r="S75" s="68">
        <f t="array" ref="S75">SUM(R70:R72)</f>
        <v>5972.3296726231747</v>
      </c>
      <c r="T75" s="68"/>
    </row>
    <row r="76" spans="1:20" ht="12" customHeight="1" x14ac:dyDescent="0.2">
      <c r="B76" s="175" t="s">
        <v>52</v>
      </c>
      <c r="C76" s="69"/>
      <c r="D76" s="125"/>
      <c r="E76" s="69"/>
      <c r="F76" s="69"/>
      <c r="G76" s="126" t="s">
        <v>108</v>
      </c>
      <c r="H76" s="69" t="s">
        <v>103</v>
      </c>
      <c r="I76" s="69" t="s">
        <v>104</v>
      </c>
      <c r="J76" s="174"/>
      <c r="K76" s="174"/>
      <c r="L76" s="174"/>
      <c r="M76" s="174"/>
      <c r="N76" s="68"/>
      <c r="O76" s="73"/>
      <c r="P76" s="127"/>
      <c r="Q76" s="73"/>
      <c r="R76" s="74"/>
      <c r="S76" s="68">
        <f t="array" ref="S76">SUM(R73)</f>
        <v>417.44994014283839</v>
      </c>
      <c r="T76" s="68"/>
    </row>
    <row r="77" spans="1:20" ht="12" customHeight="1" x14ac:dyDescent="0.2">
      <c r="B77" s="150" t="s">
        <v>23</v>
      </c>
      <c r="C77" s="147"/>
      <c r="D77" s="151"/>
      <c r="E77" s="147"/>
      <c r="F77" s="147"/>
      <c r="G77" s="147" t="s">
        <v>75</v>
      </c>
      <c r="H77" s="147" t="s">
        <v>46</v>
      </c>
      <c r="I77" s="147" t="s">
        <v>47</v>
      </c>
      <c r="J77" s="150">
        <v>341</v>
      </c>
      <c r="K77" s="150" t="s">
        <v>27</v>
      </c>
      <c r="L77" s="150" t="s">
        <v>76</v>
      </c>
      <c r="M77" s="150" t="s">
        <v>81</v>
      </c>
      <c r="N77" s="67"/>
      <c r="O77" s="148"/>
      <c r="P77" s="67"/>
      <c r="Q77" s="148"/>
      <c r="R77" s="149"/>
      <c r="S77" s="67">
        <v>65190.62</v>
      </c>
    </row>
    <row r="78" spans="1:20" ht="12" customHeight="1" x14ac:dyDescent="0.2">
      <c r="B78" s="134" t="s">
        <v>23</v>
      </c>
      <c r="C78" s="129"/>
      <c r="D78" s="130"/>
      <c r="E78" s="129"/>
      <c r="F78" s="129"/>
      <c r="G78" s="129" t="s">
        <v>110</v>
      </c>
      <c r="H78" s="147" t="s">
        <v>46</v>
      </c>
      <c r="I78" s="147" t="s">
        <v>47</v>
      </c>
      <c r="J78" s="150">
        <v>341</v>
      </c>
      <c r="K78" s="150" t="s">
        <v>27</v>
      </c>
      <c r="L78" s="133" t="s">
        <v>76</v>
      </c>
      <c r="M78" s="133" t="s">
        <v>81</v>
      </c>
      <c r="N78" s="172"/>
      <c r="O78" s="135"/>
      <c r="P78" s="134"/>
      <c r="Q78" s="135"/>
      <c r="R78" s="137"/>
      <c r="S78" s="134">
        <f>S69-SUM(S70:S74,S77)</f>
        <v>2546032.0864125094</v>
      </c>
      <c r="T78" s="173"/>
    </row>
    <row r="79" spans="1:20" ht="12" customHeight="1" x14ac:dyDescent="0.2">
      <c r="B79" s="141" t="s">
        <v>21</v>
      </c>
      <c r="C79" s="142"/>
      <c r="D79" s="143"/>
      <c r="E79" s="142"/>
      <c r="F79" s="142"/>
      <c r="G79" s="144"/>
      <c r="H79" s="144"/>
      <c r="I79" s="144"/>
      <c r="J79" s="143"/>
      <c r="K79" s="143"/>
      <c r="L79" s="145"/>
      <c r="M79" s="145"/>
      <c r="N79" s="143"/>
      <c r="O79" s="143"/>
      <c r="P79" s="143"/>
      <c r="Q79" s="143"/>
      <c r="R79" s="74"/>
      <c r="S79" s="146">
        <f>S69-SUM(S70:S74,S77:S78)</f>
        <v>0</v>
      </c>
      <c r="T79" s="68"/>
    </row>
    <row r="80" spans="1:20" ht="12" customHeight="1" x14ac:dyDescent="0.2">
      <c r="B80" s="155"/>
      <c r="C80" s="156"/>
      <c r="D80" s="157"/>
      <c r="E80" s="156"/>
      <c r="F80" s="156"/>
      <c r="G80" s="158"/>
      <c r="H80" s="158"/>
      <c r="I80" s="158"/>
      <c r="J80" s="157"/>
      <c r="K80" s="157"/>
      <c r="L80" s="159"/>
      <c r="M80" s="159"/>
      <c r="N80" s="157"/>
      <c r="O80" s="157"/>
      <c r="P80" s="157"/>
      <c r="Q80" s="157"/>
      <c r="R80" s="160"/>
      <c r="S80" s="161"/>
      <c r="T80" s="162"/>
    </row>
    <row r="81" spans="2:20" ht="15" x14ac:dyDescent="0.25">
      <c r="B81" s="47" t="s">
        <v>20</v>
      </c>
      <c r="C81" s="48">
        <v>313</v>
      </c>
      <c r="D81" s="49">
        <v>43816</v>
      </c>
      <c r="E81" s="50">
        <v>1010.8702056</v>
      </c>
      <c r="F81" s="51">
        <v>1000</v>
      </c>
      <c r="G81" s="52" t="s">
        <v>20</v>
      </c>
      <c r="H81" s="53"/>
      <c r="I81" s="53"/>
      <c r="J81" s="54"/>
      <c r="K81" s="54"/>
      <c r="L81" s="55"/>
      <c r="M81" s="54"/>
      <c r="N81" s="47"/>
      <c r="O81" s="56"/>
      <c r="P81" s="47"/>
      <c r="Q81" s="56"/>
      <c r="R81" s="57"/>
      <c r="S81" s="58">
        <f t="shared" ref="S81" si="14">E81*F81</f>
        <v>1010870.2056</v>
      </c>
      <c r="T81" s="68"/>
    </row>
    <row r="82" spans="2:20" ht="15" x14ac:dyDescent="0.25">
      <c r="B82" s="47" t="s">
        <v>20</v>
      </c>
      <c r="C82" s="48" t="s">
        <v>21</v>
      </c>
      <c r="D82" s="49"/>
      <c r="E82" s="50"/>
      <c r="F82" s="51"/>
      <c r="G82" s="52" t="s">
        <v>22</v>
      </c>
      <c r="H82" s="53"/>
      <c r="I82" s="53"/>
      <c r="J82" s="54"/>
      <c r="K82" s="54"/>
      <c r="L82" s="55"/>
      <c r="M82" s="54"/>
      <c r="N82" s="47"/>
      <c r="O82" s="56"/>
      <c r="P82" s="47"/>
      <c r="Q82" s="56"/>
      <c r="R82" s="57"/>
      <c r="S82" s="58">
        <f>SUM(S81:S81)</f>
        <v>1010870.2056</v>
      </c>
      <c r="T82" s="68"/>
    </row>
    <row r="83" spans="2:20" ht="12" customHeight="1" x14ac:dyDescent="0.25">
      <c r="B83" s="150" t="s">
        <v>23</v>
      </c>
      <c r="C83" s="17"/>
      <c r="D83" s="61"/>
      <c r="E83" s="17"/>
      <c r="F83" s="17"/>
      <c r="G83" s="17" t="s">
        <v>24</v>
      </c>
      <c r="H83" s="17" t="s">
        <v>25</v>
      </c>
      <c r="I83" s="17" t="s">
        <v>26</v>
      </c>
      <c r="J83" s="62">
        <v>341</v>
      </c>
      <c r="K83" s="62" t="s">
        <v>27</v>
      </c>
      <c r="L83" s="63" t="s">
        <v>28</v>
      </c>
      <c r="M83" s="62" t="s">
        <v>29</v>
      </c>
      <c r="N83" s="64">
        <f t="array" ref="N83">S82*0.5%</f>
        <v>5054.351028</v>
      </c>
      <c r="O83" s="65">
        <v>0.1115</v>
      </c>
      <c r="P83" s="60">
        <f t="array" ref="P83">N83/(1-O83)</f>
        <v>5688.6336837366352</v>
      </c>
      <c r="Q83" s="65">
        <v>6.1499999999999999E-2</v>
      </c>
      <c r="R83" s="66">
        <f>Q83*P83</f>
        <v>349.85097154980303</v>
      </c>
      <c r="S83" s="60">
        <f t="shared" ref="S83" si="15">P83*(1-Q83)</f>
        <v>5338.7827121868322</v>
      </c>
      <c r="T83" s="67" t="s">
        <v>77</v>
      </c>
    </row>
    <row r="84" spans="2:20" ht="12" customHeight="1" x14ac:dyDescent="0.25">
      <c r="B84" s="68" t="s">
        <v>23</v>
      </c>
      <c r="C84" s="69"/>
      <c r="D84" s="49"/>
      <c r="E84" s="69"/>
      <c r="F84" s="69"/>
      <c r="G84" s="69" t="s">
        <v>30</v>
      </c>
      <c r="H84" s="69" t="s">
        <v>25</v>
      </c>
      <c r="I84" s="69" t="s">
        <v>26</v>
      </c>
      <c r="J84" s="179">
        <v>341</v>
      </c>
      <c r="K84" s="179" t="s">
        <v>27</v>
      </c>
      <c r="L84" s="71" t="s">
        <v>28</v>
      </c>
      <c r="M84" s="179" t="s">
        <v>29</v>
      </c>
      <c r="N84" s="72">
        <f>S82*2%</f>
        <v>20217.404112</v>
      </c>
      <c r="O84" s="73">
        <v>0.1115</v>
      </c>
      <c r="P84" s="68">
        <f>(N84/(1-O84))-P86</f>
        <v>20227.359220946542</v>
      </c>
      <c r="Q84" s="73">
        <v>6.1499999999999999E-2</v>
      </c>
      <c r="R84" s="74">
        <f t="array" ref="R84">Q84*P84</f>
        <v>1243.9825920882124</v>
      </c>
      <c r="S84" s="68">
        <f>P84*(1-Q84)</f>
        <v>18983.376628858328</v>
      </c>
      <c r="T84" s="152" t="s">
        <v>72</v>
      </c>
    </row>
    <row r="85" spans="2:20" ht="12" customHeight="1" x14ac:dyDescent="0.25">
      <c r="B85" s="150" t="s">
        <v>23</v>
      </c>
      <c r="C85" s="17"/>
      <c r="D85" s="61"/>
      <c r="E85" s="17"/>
      <c r="F85" s="17"/>
      <c r="G85" s="17" t="s">
        <v>83</v>
      </c>
      <c r="H85" s="17" t="s">
        <v>25</v>
      </c>
      <c r="I85" s="17" t="s">
        <v>26</v>
      </c>
      <c r="J85" s="62">
        <v>341</v>
      </c>
      <c r="K85" s="62" t="s">
        <v>27</v>
      </c>
      <c r="L85" s="63" t="s">
        <v>28</v>
      </c>
      <c r="M85" s="62" t="s">
        <v>29</v>
      </c>
      <c r="N85" s="64">
        <f>S82*0.9%</f>
        <v>9097.8318504000017</v>
      </c>
      <c r="O85" s="65">
        <v>0.1115</v>
      </c>
      <c r="P85" s="60">
        <f t="shared" ref="P85" si="16">N85/(1-O85)</f>
        <v>10239.540630725945</v>
      </c>
      <c r="Q85" s="65">
        <v>6.1499999999999999E-2</v>
      </c>
      <c r="R85" s="66">
        <f>Q85*P85</f>
        <v>629.73174878964562</v>
      </c>
      <c r="S85" s="60">
        <f>P85*(1-Q85)</f>
        <v>9609.8088819363002</v>
      </c>
      <c r="T85" s="67" t="s">
        <v>78</v>
      </c>
    </row>
    <row r="86" spans="2:20" ht="12" customHeight="1" x14ac:dyDescent="0.25">
      <c r="B86" s="150" t="s">
        <v>23</v>
      </c>
      <c r="C86" s="17"/>
      <c r="D86" s="61"/>
      <c r="E86" s="17"/>
      <c r="F86" s="17"/>
      <c r="G86" s="17" t="s">
        <v>102</v>
      </c>
      <c r="H86" s="17" t="s">
        <v>103</v>
      </c>
      <c r="I86" s="17" t="s">
        <v>104</v>
      </c>
      <c r="J86" s="62">
        <v>77</v>
      </c>
      <c r="K86" s="62" t="s">
        <v>105</v>
      </c>
      <c r="L86" s="63" t="s">
        <v>106</v>
      </c>
      <c r="M86" s="62">
        <v>40760111</v>
      </c>
      <c r="N86" s="64"/>
      <c r="O86" s="65"/>
      <c r="P86" s="60">
        <f>S82*0.25%</f>
        <v>2527.175514</v>
      </c>
      <c r="Q86" s="65">
        <v>6.1499999999999999E-2</v>
      </c>
      <c r="R86" s="66">
        <f>Q86*P86</f>
        <v>155.42129411100001</v>
      </c>
      <c r="S86" s="60">
        <f>P86*(1-Q86)</f>
        <v>2371.7542198890001</v>
      </c>
      <c r="T86" s="67" t="s">
        <v>107</v>
      </c>
    </row>
    <row r="87" spans="2:20" ht="12" customHeight="1" x14ac:dyDescent="0.2">
      <c r="G87" s="121" t="s">
        <v>51</v>
      </c>
      <c r="H87" s="121"/>
      <c r="I87" s="121"/>
      <c r="J87" s="266"/>
      <c r="K87" s="266"/>
      <c r="L87" s="266"/>
      <c r="M87" s="266"/>
      <c r="N87" s="122"/>
      <c r="O87" s="123"/>
      <c r="P87" s="122"/>
      <c r="Q87" s="123"/>
      <c r="R87" s="124"/>
      <c r="S87" s="122">
        <f>SUM(S88:S89)</f>
        <v>2378.9866065386609</v>
      </c>
    </row>
    <row r="88" spans="2:20" ht="12" customHeight="1" x14ac:dyDescent="0.2">
      <c r="B88" s="179" t="s">
        <v>52</v>
      </c>
      <c r="C88" s="69"/>
      <c r="D88" s="125"/>
      <c r="E88" s="69"/>
      <c r="F88" s="69"/>
      <c r="G88" s="126" t="s">
        <v>53</v>
      </c>
      <c r="H88" s="69" t="s">
        <v>25</v>
      </c>
      <c r="I88" s="69" t="s">
        <v>26</v>
      </c>
      <c r="J88" s="267"/>
      <c r="K88" s="267"/>
      <c r="L88" s="267"/>
      <c r="M88" s="267"/>
      <c r="N88" s="68"/>
      <c r="O88" s="73"/>
      <c r="P88" s="127"/>
      <c r="Q88" s="73"/>
      <c r="R88" s="74"/>
      <c r="S88" s="68">
        <f t="array" ref="S88">SUM(R83:R85)</f>
        <v>2223.565312427661</v>
      </c>
      <c r="T88" s="68"/>
    </row>
    <row r="89" spans="2:20" ht="12" customHeight="1" x14ac:dyDescent="0.2">
      <c r="B89" s="179" t="s">
        <v>52</v>
      </c>
      <c r="C89" s="69"/>
      <c r="D89" s="125"/>
      <c r="E89" s="69"/>
      <c r="F89" s="69"/>
      <c r="G89" s="126" t="s">
        <v>108</v>
      </c>
      <c r="H89" s="69" t="s">
        <v>103</v>
      </c>
      <c r="I89" s="69" t="s">
        <v>104</v>
      </c>
      <c r="J89" s="178"/>
      <c r="K89" s="178"/>
      <c r="L89" s="178"/>
      <c r="M89" s="178"/>
      <c r="N89" s="68"/>
      <c r="O89" s="73"/>
      <c r="P89" s="127"/>
      <c r="Q89" s="73"/>
      <c r="R89" s="74"/>
      <c r="S89" s="68">
        <f t="array" ref="S89">SUM(R86)</f>
        <v>155.42129411100001</v>
      </c>
      <c r="T89" s="68"/>
    </row>
    <row r="90" spans="2:20" ht="12" customHeight="1" x14ac:dyDescent="0.2">
      <c r="B90" s="150" t="s">
        <v>23</v>
      </c>
      <c r="C90" s="147"/>
      <c r="D90" s="151"/>
      <c r="E90" s="147"/>
      <c r="F90" s="147"/>
      <c r="G90" s="147" t="s">
        <v>75</v>
      </c>
      <c r="H90" s="147" t="s">
        <v>46</v>
      </c>
      <c r="I90" s="147" t="s">
        <v>47</v>
      </c>
      <c r="J90" s="150">
        <v>341</v>
      </c>
      <c r="K90" s="150" t="s">
        <v>27</v>
      </c>
      <c r="L90" s="150" t="s">
        <v>76</v>
      </c>
      <c r="M90" s="150" t="s">
        <v>81</v>
      </c>
      <c r="N90" s="67"/>
      <c r="O90" s="148"/>
      <c r="P90" s="67"/>
      <c r="Q90" s="148"/>
      <c r="R90" s="149"/>
      <c r="S90" s="67">
        <v>32595.31</v>
      </c>
    </row>
    <row r="91" spans="2:20" ht="12" customHeight="1" x14ac:dyDescent="0.2">
      <c r="B91" s="134" t="s">
        <v>23</v>
      </c>
      <c r="C91" s="129"/>
      <c r="D91" s="130"/>
      <c r="E91" s="129"/>
      <c r="F91" s="129"/>
      <c r="G91" s="129" t="s">
        <v>110</v>
      </c>
      <c r="H91" s="147" t="s">
        <v>46</v>
      </c>
      <c r="I91" s="147" t="s">
        <v>47</v>
      </c>
      <c r="J91" s="150">
        <v>341</v>
      </c>
      <c r="K91" s="150" t="s">
        <v>27</v>
      </c>
      <c r="L91" s="133" t="s">
        <v>76</v>
      </c>
      <c r="M91" s="133" t="s">
        <v>81</v>
      </c>
      <c r="N91" s="172"/>
      <c r="O91" s="135"/>
      <c r="P91" s="134"/>
      <c r="Q91" s="135"/>
      <c r="R91" s="137"/>
      <c r="S91" s="134">
        <f>S82-SUM(S83:S87,S90)</f>
        <v>939592.18655059091</v>
      </c>
      <c r="T91" s="173"/>
    </row>
    <row r="92" spans="2:20" ht="12" customHeight="1" x14ac:dyDescent="0.2">
      <c r="B92" s="141" t="s">
        <v>21</v>
      </c>
      <c r="C92" s="142"/>
      <c r="D92" s="143"/>
      <c r="E92" s="142"/>
      <c r="F92" s="142"/>
      <c r="G92" s="144"/>
      <c r="H92" s="144"/>
      <c r="I92" s="144"/>
      <c r="J92" s="143"/>
      <c r="K92" s="143"/>
      <c r="L92" s="145"/>
      <c r="M92" s="145"/>
      <c r="N92" s="143"/>
      <c r="O92" s="143"/>
      <c r="P92" s="143"/>
      <c r="Q92" s="143"/>
      <c r="R92" s="74"/>
      <c r="S92" s="146">
        <f>S82-SUM(S83:S87,S90:S91)</f>
        <v>0</v>
      </c>
      <c r="T92" s="68"/>
    </row>
    <row r="93" spans="2:20" ht="12" customHeight="1" x14ac:dyDescent="0.2">
      <c r="B93" s="155"/>
      <c r="C93" s="156"/>
      <c r="D93" s="157"/>
      <c r="E93" s="156"/>
      <c r="F93" s="156"/>
      <c r="G93" s="158"/>
      <c r="H93" s="158"/>
      <c r="I93" s="158"/>
      <c r="J93" s="157"/>
      <c r="K93" s="157"/>
      <c r="L93" s="159"/>
      <c r="M93" s="159"/>
      <c r="N93" s="157"/>
      <c r="O93" s="157"/>
      <c r="P93" s="157"/>
      <c r="Q93" s="157"/>
      <c r="R93" s="160"/>
      <c r="S93" s="161"/>
      <c r="T93" s="162"/>
    </row>
    <row r="94" spans="2:20" ht="15" x14ac:dyDescent="0.25">
      <c r="B94" s="47" t="s">
        <v>20</v>
      </c>
      <c r="C94" s="48">
        <v>312</v>
      </c>
      <c r="D94" s="49">
        <v>43817</v>
      </c>
      <c r="E94" s="50">
        <v>1008.64862538</v>
      </c>
      <c r="F94" s="51">
        <v>1572</v>
      </c>
      <c r="G94" s="52" t="s">
        <v>20</v>
      </c>
      <c r="H94" s="53"/>
      <c r="I94" s="53"/>
      <c r="J94" s="54"/>
      <c r="K94" s="54"/>
      <c r="L94" s="55"/>
      <c r="M94" s="54"/>
      <c r="N94" s="47"/>
      <c r="O94" s="56"/>
      <c r="P94" s="47"/>
      <c r="Q94" s="56"/>
      <c r="R94" s="57"/>
      <c r="S94" s="58">
        <f t="shared" ref="S94" si="17">E94*F94</f>
        <v>1585595.63909736</v>
      </c>
      <c r="T94" s="68"/>
    </row>
    <row r="95" spans="2:20" ht="15" x14ac:dyDescent="0.25">
      <c r="B95" s="47" t="s">
        <v>20</v>
      </c>
      <c r="C95" s="48">
        <v>313</v>
      </c>
      <c r="D95" s="49">
        <v>43817</v>
      </c>
      <c r="E95" s="50">
        <v>1011.65115565</v>
      </c>
      <c r="F95" s="51">
        <v>3191</v>
      </c>
      <c r="G95" s="52" t="s">
        <v>20</v>
      </c>
      <c r="H95" s="53"/>
      <c r="I95" s="53"/>
      <c r="J95" s="54"/>
      <c r="K95" s="54"/>
      <c r="L95" s="55"/>
      <c r="M95" s="54"/>
      <c r="N95" s="47"/>
      <c r="O95" s="56"/>
      <c r="P95" s="47"/>
      <c r="Q95" s="56"/>
      <c r="R95" s="57"/>
      <c r="S95" s="58">
        <f t="shared" ref="S95" si="18">E95*F95</f>
        <v>3228178.83767915</v>
      </c>
      <c r="T95" s="68"/>
    </row>
    <row r="96" spans="2:20" ht="12" customHeight="1" x14ac:dyDescent="0.25">
      <c r="B96" s="47" t="s">
        <v>20</v>
      </c>
      <c r="C96" s="48" t="s">
        <v>21</v>
      </c>
      <c r="D96" s="49"/>
      <c r="E96" s="50"/>
      <c r="F96" s="51"/>
      <c r="G96" s="52" t="s">
        <v>22</v>
      </c>
      <c r="H96" s="53"/>
      <c r="I96" s="53"/>
      <c r="J96" s="54"/>
      <c r="K96" s="54"/>
      <c r="L96" s="55"/>
      <c r="M96" s="54"/>
      <c r="N96" s="47"/>
      <c r="O96" s="56"/>
      <c r="P96" s="47"/>
      <c r="Q96" s="56"/>
      <c r="R96" s="57"/>
      <c r="S96" s="58">
        <f>SUM(S94:S95)</f>
        <v>4813774.4767765105</v>
      </c>
      <c r="T96" s="68"/>
    </row>
    <row r="97" spans="2:20" ht="12" customHeight="1" x14ac:dyDescent="0.25">
      <c r="B97" s="150" t="s">
        <v>23</v>
      </c>
      <c r="C97" s="17"/>
      <c r="D97" s="61"/>
      <c r="E97" s="17"/>
      <c r="F97" s="17"/>
      <c r="G97" s="17" t="s">
        <v>24</v>
      </c>
      <c r="H97" s="17" t="s">
        <v>25</v>
      </c>
      <c r="I97" s="17" t="s">
        <v>26</v>
      </c>
      <c r="J97" s="62">
        <v>341</v>
      </c>
      <c r="K97" s="62" t="s">
        <v>27</v>
      </c>
      <c r="L97" s="63" t="s">
        <v>28</v>
      </c>
      <c r="M97" s="62" t="s">
        <v>29</v>
      </c>
      <c r="N97" s="64">
        <f t="array" ref="N97">S96*0.5%</f>
        <v>24068.872383882554</v>
      </c>
      <c r="O97" s="65">
        <v>0.1115</v>
      </c>
      <c r="P97" s="60">
        <f t="array" ref="P97">N97/(1-O97)</f>
        <v>27089.333015061962</v>
      </c>
      <c r="Q97" s="65">
        <v>6.1499999999999999E-2</v>
      </c>
      <c r="R97" s="66">
        <f>Q97*P97</f>
        <v>1665.9939804263106</v>
      </c>
      <c r="S97" s="60">
        <f t="shared" ref="S97" si="19">P97*(1-Q97)</f>
        <v>25423.33903463565</v>
      </c>
      <c r="T97" s="67" t="s">
        <v>77</v>
      </c>
    </row>
    <row r="98" spans="2:20" ht="12" customHeight="1" x14ac:dyDescent="0.25">
      <c r="B98" s="68" t="s">
        <v>23</v>
      </c>
      <c r="C98" s="69"/>
      <c r="D98" s="49"/>
      <c r="E98" s="69"/>
      <c r="F98" s="69"/>
      <c r="G98" s="69" t="s">
        <v>30</v>
      </c>
      <c r="H98" s="69" t="s">
        <v>25</v>
      </c>
      <c r="I98" s="69" t="s">
        <v>26</v>
      </c>
      <c r="J98" s="177">
        <v>341</v>
      </c>
      <c r="K98" s="177" t="s">
        <v>27</v>
      </c>
      <c r="L98" s="71" t="s">
        <v>28</v>
      </c>
      <c r="M98" s="177" t="s">
        <v>29</v>
      </c>
      <c r="N98" s="72">
        <f>S96*2%</f>
        <v>96275.489535530214</v>
      </c>
      <c r="O98" s="73">
        <v>0.1115</v>
      </c>
      <c r="P98" s="68">
        <f>(N98/(1-O98))-P100</f>
        <v>96322.895868306572</v>
      </c>
      <c r="Q98" s="73">
        <v>6.1499999999999999E-2</v>
      </c>
      <c r="R98" s="74">
        <f t="array" ref="R98">Q98*P98</f>
        <v>5923.8580959008541</v>
      </c>
      <c r="S98" s="68">
        <f>P98*(1-Q98)</f>
        <v>90399.037772405718</v>
      </c>
      <c r="T98" s="152" t="s">
        <v>72</v>
      </c>
    </row>
    <row r="99" spans="2:20" ht="12" customHeight="1" x14ac:dyDescent="0.25">
      <c r="B99" s="150" t="s">
        <v>23</v>
      </c>
      <c r="C99" s="17"/>
      <c r="D99" s="61"/>
      <c r="E99" s="17"/>
      <c r="F99" s="17"/>
      <c r="G99" s="17" t="s">
        <v>83</v>
      </c>
      <c r="H99" s="17" t="s">
        <v>25</v>
      </c>
      <c r="I99" s="17" t="s">
        <v>26</v>
      </c>
      <c r="J99" s="62">
        <v>341</v>
      </c>
      <c r="K99" s="62" t="s">
        <v>27</v>
      </c>
      <c r="L99" s="63" t="s">
        <v>28</v>
      </c>
      <c r="M99" s="62" t="s">
        <v>29</v>
      </c>
      <c r="N99" s="64">
        <f>S96*0.9%</f>
        <v>43323.970290988596</v>
      </c>
      <c r="O99" s="65">
        <v>0.1115</v>
      </c>
      <c r="P99" s="60">
        <f t="shared" ref="P99" si="20">N99/(1-O99)</f>
        <v>48760.799427111531</v>
      </c>
      <c r="Q99" s="65">
        <v>6.1499999999999999E-2</v>
      </c>
      <c r="R99" s="66">
        <f>Q99*P99</f>
        <v>2998.7891647673591</v>
      </c>
      <c r="S99" s="60">
        <f>P99*(1-Q99)</f>
        <v>45762.010262344171</v>
      </c>
      <c r="T99" s="67" t="s">
        <v>78</v>
      </c>
    </row>
    <row r="100" spans="2:20" ht="12" customHeight="1" x14ac:dyDescent="0.25">
      <c r="B100" s="150" t="s">
        <v>23</v>
      </c>
      <c r="C100" s="17"/>
      <c r="D100" s="61"/>
      <c r="E100" s="17"/>
      <c r="F100" s="17"/>
      <c r="G100" s="17" t="s">
        <v>102</v>
      </c>
      <c r="H100" s="17" t="s">
        <v>103</v>
      </c>
      <c r="I100" s="17" t="s">
        <v>104</v>
      </c>
      <c r="J100" s="62">
        <v>77</v>
      </c>
      <c r="K100" s="62" t="s">
        <v>105</v>
      </c>
      <c r="L100" s="63" t="s">
        <v>106</v>
      </c>
      <c r="M100" s="62">
        <v>40760111</v>
      </c>
      <c r="N100" s="64"/>
      <c r="O100" s="65"/>
      <c r="P100" s="60">
        <f>S96*0.25%</f>
        <v>12034.436191941277</v>
      </c>
      <c r="Q100" s="65">
        <v>6.1499999999999999E-2</v>
      </c>
      <c r="R100" s="66">
        <f>Q100*P100</f>
        <v>740.11782580438853</v>
      </c>
      <c r="S100" s="60">
        <f>P100*(1-Q100)</f>
        <v>11294.318366136888</v>
      </c>
      <c r="T100" s="67" t="s">
        <v>107</v>
      </c>
    </row>
    <row r="101" spans="2:20" ht="12" customHeight="1" x14ac:dyDescent="0.2">
      <c r="G101" s="121" t="s">
        <v>51</v>
      </c>
      <c r="H101" s="121"/>
      <c r="I101" s="121"/>
      <c r="J101" s="266"/>
      <c r="K101" s="266"/>
      <c r="L101" s="266"/>
      <c r="M101" s="266"/>
      <c r="N101" s="122"/>
      <c r="O101" s="123"/>
      <c r="P101" s="122"/>
      <c r="Q101" s="123"/>
      <c r="R101" s="124"/>
      <c r="S101" s="122">
        <f>SUM(S102:S103)</f>
        <v>11328.759066898912</v>
      </c>
    </row>
    <row r="102" spans="2:20" ht="12" customHeight="1" x14ac:dyDescent="0.2">
      <c r="B102" s="177" t="s">
        <v>52</v>
      </c>
      <c r="C102" s="69"/>
      <c r="D102" s="125"/>
      <c r="E102" s="69"/>
      <c r="F102" s="69"/>
      <c r="G102" s="126" t="s">
        <v>53</v>
      </c>
      <c r="H102" s="69" t="s">
        <v>25</v>
      </c>
      <c r="I102" s="69" t="s">
        <v>26</v>
      </c>
      <c r="J102" s="267"/>
      <c r="K102" s="267"/>
      <c r="L102" s="267"/>
      <c r="M102" s="267"/>
      <c r="N102" s="68"/>
      <c r="O102" s="73"/>
      <c r="P102" s="127"/>
      <c r="Q102" s="73"/>
      <c r="R102" s="74"/>
      <c r="S102" s="68">
        <f t="array" ref="S102">SUM(R97:R99)</f>
        <v>10588.641241094523</v>
      </c>
      <c r="T102" s="68"/>
    </row>
    <row r="103" spans="2:20" ht="12" customHeight="1" x14ac:dyDescent="0.2">
      <c r="B103" s="177" t="s">
        <v>52</v>
      </c>
      <c r="C103" s="69"/>
      <c r="D103" s="125"/>
      <c r="E103" s="69"/>
      <c r="F103" s="69"/>
      <c r="G103" s="126" t="s">
        <v>108</v>
      </c>
      <c r="H103" s="69" t="s">
        <v>103</v>
      </c>
      <c r="I103" s="69" t="s">
        <v>104</v>
      </c>
      <c r="J103" s="176"/>
      <c r="K103" s="176"/>
      <c r="L103" s="176"/>
      <c r="M103" s="176"/>
      <c r="N103" s="68"/>
      <c r="O103" s="73"/>
      <c r="P103" s="127"/>
      <c r="Q103" s="73"/>
      <c r="R103" s="74"/>
      <c r="S103" s="68">
        <f t="array" ref="S103">SUM(R100)</f>
        <v>740.11782580438853</v>
      </c>
      <c r="T103" s="68"/>
    </row>
    <row r="104" spans="2:20" ht="12" customHeight="1" x14ac:dyDescent="0.2">
      <c r="B104" s="150" t="s">
        <v>23</v>
      </c>
      <c r="C104" s="147"/>
      <c r="D104" s="151"/>
      <c r="E104" s="147"/>
      <c r="F104" s="147"/>
      <c r="G104" s="147" t="s">
        <v>75</v>
      </c>
      <c r="H104" s="147" t="s">
        <v>46</v>
      </c>
      <c r="I104" s="147" t="s">
        <v>47</v>
      </c>
      <c r="J104" s="150">
        <v>341</v>
      </c>
      <c r="K104" s="150" t="s">
        <v>27</v>
      </c>
      <c r="L104" s="150" t="s">
        <v>76</v>
      </c>
      <c r="M104" s="150" t="s">
        <v>81</v>
      </c>
      <c r="N104" s="67"/>
      <c r="O104" s="148"/>
      <c r="P104" s="67"/>
      <c r="Q104" s="148"/>
      <c r="R104" s="149"/>
      <c r="S104" s="67">
        <v>142124.99</v>
      </c>
    </row>
    <row r="105" spans="2:20" ht="12" customHeight="1" x14ac:dyDescent="0.2">
      <c r="B105" s="134" t="s">
        <v>23</v>
      </c>
      <c r="C105" s="129"/>
      <c r="D105" s="130"/>
      <c r="E105" s="129"/>
      <c r="F105" s="129"/>
      <c r="G105" s="129" t="s">
        <v>110</v>
      </c>
      <c r="H105" s="147" t="s">
        <v>46</v>
      </c>
      <c r="I105" s="147" t="s">
        <v>47</v>
      </c>
      <c r="J105" s="150">
        <v>341</v>
      </c>
      <c r="K105" s="150" t="s">
        <v>27</v>
      </c>
      <c r="L105" s="133" t="s">
        <v>76</v>
      </c>
      <c r="M105" s="133" t="s">
        <v>81</v>
      </c>
      <c r="N105" s="172"/>
      <c r="O105" s="135"/>
      <c r="P105" s="134"/>
      <c r="Q105" s="135"/>
      <c r="R105" s="137"/>
      <c r="S105" s="134">
        <f>S96-SUM(S97:S101,S104)</f>
        <v>4487442.022274089</v>
      </c>
      <c r="T105" s="173"/>
    </row>
    <row r="106" spans="2:20" ht="12" customHeight="1" x14ac:dyDescent="0.2">
      <c r="B106" s="141" t="s">
        <v>21</v>
      </c>
      <c r="C106" s="142"/>
      <c r="D106" s="143"/>
      <c r="E106" s="142"/>
      <c r="F106" s="142"/>
      <c r="G106" s="144"/>
      <c r="H106" s="144"/>
      <c r="I106" s="144"/>
      <c r="J106" s="143"/>
      <c r="K106" s="143"/>
      <c r="L106" s="145"/>
      <c r="M106" s="145"/>
      <c r="N106" s="143"/>
      <c r="O106" s="143"/>
      <c r="P106" s="143"/>
      <c r="Q106" s="143"/>
      <c r="R106" s="74"/>
      <c r="S106" s="146">
        <f>S96-SUM(S97:S101,S104:S105)</f>
        <v>0</v>
      </c>
      <c r="T106" s="68"/>
    </row>
    <row r="107" spans="2:20" ht="12" customHeight="1" x14ac:dyDescent="0.2">
      <c r="B107" s="155"/>
      <c r="C107" s="156"/>
      <c r="D107" s="157"/>
      <c r="E107" s="156"/>
      <c r="F107" s="156"/>
      <c r="G107" s="158"/>
      <c r="H107" s="158"/>
      <c r="I107" s="158"/>
      <c r="J107" s="157"/>
      <c r="K107" s="157"/>
      <c r="L107" s="159"/>
      <c r="M107" s="159"/>
      <c r="N107" s="157"/>
      <c r="O107" s="157"/>
      <c r="P107" s="157"/>
      <c r="Q107" s="157"/>
      <c r="R107" s="160"/>
      <c r="S107" s="161"/>
      <c r="T107" s="162"/>
    </row>
    <row r="108" spans="2:20" ht="15" x14ac:dyDescent="0.25">
      <c r="B108" s="47" t="s">
        <v>20</v>
      </c>
      <c r="C108" s="48">
        <v>312</v>
      </c>
      <c r="D108" s="49">
        <v>43819</v>
      </c>
      <c r="E108" s="50">
        <v>1009.80741779</v>
      </c>
      <c r="F108" s="51">
        <v>4800</v>
      </c>
      <c r="G108" s="52" t="s">
        <v>20</v>
      </c>
      <c r="H108" s="53"/>
      <c r="I108" s="53"/>
      <c r="J108" s="54"/>
      <c r="K108" s="54"/>
      <c r="L108" s="55"/>
      <c r="M108" s="54"/>
      <c r="N108" s="47"/>
      <c r="O108" s="56"/>
      <c r="P108" s="47"/>
      <c r="Q108" s="56"/>
      <c r="R108" s="57"/>
      <c r="S108" s="58">
        <f t="shared" ref="S108" si="21">E108*F108</f>
        <v>4847075.6053920006</v>
      </c>
      <c r="T108" s="68"/>
    </row>
    <row r="109" spans="2:20" ht="12" customHeight="1" x14ac:dyDescent="0.25">
      <c r="B109" s="47" t="s">
        <v>20</v>
      </c>
      <c r="C109" s="48" t="s">
        <v>21</v>
      </c>
      <c r="D109" s="49"/>
      <c r="E109" s="50"/>
      <c r="F109" s="51"/>
      <c r="G109" s="52" t="s">
        <v>22</v>
      </c>
      <c r="H109" s="53"/>
      <c r="I109" s="53"/>
      <c r="J109" s="54"/>
      <c r="K109" s="54"/>
      <c r="L109" s="55"/>
      <c r="M109" s="54"/>
      <c r="N109" s="47"/>
      <c r="O109" s="56"/>
      <c r="P109" s="47"/>
      <c r="Q109" s="56"/>
      <c r="R109" s="57"/>
      <c r="S109" s="58">
        <f>SUM(S108:S108)</f>
        <v>4847075.6053920006</v>
      </c>
      <c r="T109" s="68"/>
    </row>
    <row r="110" spans="2:20" ht="12" customHeight="1" x14ac:dyDescent="0.25">
      <c r="B110" s="150" t="s">
        <v>23</v>
      </c>
      <c r="C110" s="17"/>
      <c r="D110" s="61"/>
      <c r="E110" s="17"/>
      <c r="F110" s="17"/>
      <c r="G110" s="17" t="s">
        <v>24</v>
      </c>
      <c r="H110" s="17" t="s">
        <v>25</v>
      </c>
      <c r="I110" s="17" t="s">
        <v>26</v>
      </c>
      <c r="J110" s="62">
        <v>341</v>
      </c>
      <c r="K110" s="62" t="s">
        <v>27</v>
      </c>
      <c r="L110" s="63" t="s">
        <v>28</v>
      </c>
      <c r="M110" s="62" t="s">
        <v>29</v>
      </c>
      <c r="N110" s="64">
        <f t="array" ref="N110">S109*0.5%</f>
        <v>24235.378026960003</v>
      </c>
      <c r="O110" s="65">
        <v>0.1115</v>
      </c>
      <c r="P110" s="60">
        <f t="array" ref="P110">N110/(1-O110)</f>
        <v>27276.733851389989</v>
      </c>
      <c r="Q110" s="65">
        <v>6.1499999999999999E-2</v>
      </c>
      <c r="R110" s="66">
        <f>Q110*P110</f>
        <v>1677.5191318604843</v>
      </c>
      <c r="S110" s="60">
        <f t="shared" ref="S110" si="22">P110*(1-Q110)</f>
        <v>25599.214719529504</v>
      </c>
      <c r="T110" s="67" t="s">
        <v>77</v>
      </c>
    </row>
    <row r="111" spans="2:20" ht="12" customHeight="1" x14ac:dyDescent="0.25">
      <c r="B111" s="68" t="s">
        <v>23</v>
      </c>
      <c r="C111" s="69"/>
      <c r="D111" s="49"/>
      <c r="E111" s="69"/>
      <c r="F111" s="69"/>
      <c r="G111" s="69" t="s">
        <v>30</v>
      </c>
      <c r="H111" s="69" t="s">
        <v>25</v>
      </c>
      <c r="I111" s="69" t="s">
        <v>26</v>
      </c>
      <c r="J111" s="181">
        <v>341</v>
      </c>
      <c r="K111" s="181" t="s">
        <v>27</v>
      </c>
      <c r="L111" s="71" t="s">
        <v>28</v>
      </c>
      <c r="M111" s="181" t="s">
        <v>29</v>
      </c>
      <c r="N111" s="72">
        <f>S109*2%</f>
        <v>96941.512107840012</v>
      </c>
      <c r="O111" s="73">
        <v>0.1115</v>
      </c>
      <c r="P111" s="68">
        <f>(N111/(1-O111))-P113</f>
        <v>96989.246392079949</v>
      </c>
      <c r="Q111" s="73">
        <v>6.1499999999999999E-2</v>
      </c>
      <c r="R111" s="74">
        <f t="array" ref="R111">Q111*P111</f>
        <v>5964.8386531129172</v>
      </c>
      <c r="S111" s="68">
        <f>P111*(1-Q111)</f>
        <v>91024.407738967027</v>
      </c>
      <c r="T111" s="152" t="s">
        <v>72</v>
      </c>
    </row>
    <row r="112" spans="2:20" ht="12" customHeight="1" x14ac:dyDescent="0.25">
      <c r="B112" s="150" t="s">
        <v>23</v>
      </c>
      <c r="C112" s="17"/>
      <c r="D112" s="61"/>
      <c r="E112" s="17"/>
      <c r="F112" s="17"/>
      <c r="G112" s="17" t="s">
        <v>83</v>
      </c>
      <c r="H112" s="17" t="s">
        <v>25</v>
      </c>
      <c r="I112" s="17" t="s">
        <v>26</v>
      </c>
      <c r="J112" s="62">
        <v>341</v>
      </c>
      <c r="K112" s="62" t="s">
        <v>27</v>
      </c>
      <c r="L112" s="63" t="s">
        <v>28</v>
      </c>
      <c r="M112" s="62" t="s">
        <v>29</v>
      </c>
      <c r="N112" s="64">
        <f>S109*0.9%</f>
        <v>43623.680448528008</v>
      </c>
      <c r="O112" s="65">
        <v>0.1115</v>
      </c>
      <c r="P112" s="60">
        <f t="shared" ref="P112" si="23">N112/(1-O112)</f>
        <v>49098.120932501981</v>
      </c>
      <c r="Q112" s="65">
        <v>6.1499999999999999E-2</v>
      </c>
      <c r="R112" s="66">
        <f>Q112*P112</f>
        <v>3019.534437348872</v>
      </c>
      <c r="S112" s="60">
        <f>P112*(1-Q112)</f>
        <v>46078.586495153111</v>
      </c>
      <c r="T112" s="67" t="s">
        <v>78</v>
      </c>
    </row>
    <row r="113" spans="2:20" ht="12" customHeight="1" x14ac:dyDescent="0.25">
      <c r="B113" s="150" t="s">
        <v>23</v>
      </c>
      <c r="C113" s="17"/>
      <c r="D113" s="61"/>
      <c r="E113" s="17"/>
      <c r="F113" s="17"/>
      <c r="G113" s="17" t="s">
        <v>102</v>
      </c>
      <c r="H113" s="17" t="s">
        <v>103</v>
      </c>
      <c r="I113" s="17" t="s">
        <v>104</v>
      </c>
      <c r="J113" s="62">
        <v>77</v>
      </c>
      <c r="K113" s="62" t="s">
        <v>105</v>
      </c>
      <c r="L113" s="63" t="s">
        <v>106</v>
      </c>
      <c r="M113" s="62">
        <v>40760111</v>
      </c>
      <c r="N113" s="64"/>
      <c r="O113" s="65"/>
      <c r="P113" s="60">
        <f>S109*0.25%</f>
        <v>12117.689013480001</v>
      </c>
      <c r="Q113" s="65">
        <v>6.1499999999999999E-2</v>
      </c>
      <c r="R113" s="66">
        <f>Q113*P113</f>
        <v>745.23787432902009</v>
      </c>
      <c r="S113" s="60">
        <f>P113*(1-Q113)</f>
        <v>11372.451139150982</v>
      </c>
      <c r="T113" s="67" t="s">
        <v>107</v>
      </c>
    </row>
    <row r="114" spans="2:20" ht="12" customHeight="1" x14ac:dyDescent="0.2">
      <c r="G114" s="121" t="s">
        <v>51</v>
      </c>
      <c r="H114" s="121"/>
      <c r="I114" s="121"/>
      <c r="J114" s="266"/>
      <c r="K114" s="266"/>
      <c r="L114" s="266"/>
      <c r="M114" s="266"/>
      <c r="N114" s="122"/>
      <c r="O114" s="123"/>
      <c r="P114" s="122"/>
      <c r="Q114" s="123"/>
      <c r="R114" s="124"/>
      <c r="S114" s="122">
        <f>SUM(S115:S116)</f>
        <v>11407.130096651294</v>
      </c>
    </row>
    <row r="115" spans="2:20" ht="12" customHeight="1" x14ac:dyDescent="0.2">
      <c r="B115" s="181" t="s">
        <v>52</v>
      </c>
      <c r="C115" s="69"/>
      <c r="D115" s="125"/>
      <c r="E115" s="69"/>
      <c r="F115" s="69"/>
      <c r="G115" s="126" t="s">
        <v>53</v>
      </c>
      <c r="H115" s="69" t="s">
        <v>25</v>
      </c>
      <c r="I115" s="69" t="s">
        <v>26</v>
      </c>
      <c r="J115" s="267"/>
      <c r="K115" s="267"/>
      <c r="L115" s="267"/>
      <c r="M115" s="267"/>
      <c r="N115" s="68"/>
      <c r="O115" s="73"/>
      <c r="P115" s="127"/>
      <c r="Q115" s="73"/>
      <c r="R115" s="74"/>
      <c r="S115" s="68">
        <f t="array" ref="S115">SUM(R110:R112)</f>
        <v>10661.892222322273</v>
      </c>
      <c r="T115" s="68"/>
    </row>
    <row r="116" spans="2:20" ht="12" customHeight="1" x14ac:dyDescent="0.2">
      <c r="B116" s="181" t="s">
        <v>52</v>
      </c>
      <c r="C116" s="69"/>
      <c r="D116" s="125"/>
      <c r="E116" s="69"/>
      <c r="F116" s="69"/>
      <c r="G116" s="126" t="s">
        <v>108</v>
      </c>
      <c r="H116" s="69" t="s">
        <v>103</v>
      </c>
      <c r="I116" s="69" t="s">
        <v>104</v>
      </c>
      <c r="J116" s="180"/>
      <c r="K116" s="180"/>
      <c r="L116" s="180"/>
      <c r="M116" s="180"/>
      <c r="N116" s="68"/>
      <c r="O116" s="73"/>
      <c r="P116" s="127"/>
      <c r="Q116" s="73"/>
      <c r="R116" s="74"/>
      <c r="S116" s="68">
        <f t="array" ref="S116">SUM(R113)</f>
        <v>745.23787432902009</v>
      </c>
      <c r="T116" s="68"/>
    </row>
    <row r="117" spans="2:20" ht="12" customHeight="1" x14ac:dyDescent="0.2">
      <c r="B117" s="150" t="s">
        <v>23</v>
      </c>
      <c r="C117" s="147"/>
      <c r="D117" s="151"/>
      <c r="E117" s="147"/>
      <c r="F117" s="147"/>
      <c r="G117" s="147" t="s">
        <v>75</v>
      </c>
      <c r="H117" s="147" t="s">
        <v>46</v>
      </c>
      <c r="I117" s="147" t="s">
        <v>47</v>
      </c>
      <c r="J117" s="150">
        <v>341</v>
      </c>
      <c r="K117" s="150" t="s">
        <v>27</v>
      </c>
      <c r="L117" s="150" t="s">
        <v>76</v>
      </c>
      <c r="M117" s="150" t="s">
        <v>81</v>
      </c>
      <c r="N117" s="67"/>
      <c r="O117" s="148"/>
      <c r="P117" s="67"/>
      <c r="Q117" s="148"/>
      <c r="R117" s="149"/>
      <c r="S117" s="67">
        <v>327713.15999999997</v>
      </c>
    </row>
    <row r="118" spans="2:20" ht="12" customHeight="1" x14ac:dyDescent="0.2">
      <c r="B118" s="134" t="s">
        <v>23</v>
      </c>
      <c r="C118" s="129"/>
      <c r="D118" s="130"/>
      <c r="E118" s="129"/>
      <c r="F118" s="129"/>
      <c r="G118" s="129" t="s">
        <v>110</v>
      </c>
      <c r="H118" s="147" t="s">
        <v>46</v>
      </c>
      <c r="I118" s="147" t="s">
        <v>47</v>
      </c>
      <c r="J118" s="150">
        <v>341</v>
      </c>
      <c r="K118" s="150" t="s">
        <v>27</v>
      </c>
      <c r="L118" s="133" t="s">
        <v>76</v>
      </c>
      <c r="M118" s="133" t="s">
        <v>81</v>
      </c>
      <c r="N118" s="172"/>
      <c r="O118" s="135"/>
      <c r="P118" s="134"/>
      <c r="Q118" s="135"/>
      <c r="R118" s="137"/>
      <c r="S118" s="134">
        <f>S109-SUM(S110:S114,S117)</f>
        <v>4333880.655202549</v>
      </c>
      <c r="T118" s="173"/>
    </row>
    <row r="119" spans="2:20" ht="12" customHeight="1" x14ac:dyDescent="0.2">
      <c r="B119" s="141" t="s">
        <v>21</v>
      </c>
      <c r="C119" s="142"/>
      <c r="D119" s="143"/>
      <c r="E119" s="142"/>
      <c r="F119" s="142"/>
      <c r="G119" s="144"/>
      <c r="H119" s="144"/>
      <c r="I119" s="144"/>
      <c r="J119" s="143"/>
      <c r="K119" s="143"/>
      <c r="L119" s="145"/>
      <c r="M119" s="145"/>
      <c r="N119" s="143"/>
      <c r="O119" s="143"/>
      <c r="P119" s="143"/>
      <c r="Q119" s="143"/>
      <c r="R119" s="74"/>
      <c r="S119" s="146">
        <f>S109-SUM(S110:S114,S117:S118)</f>
        <v>0</v>
      </c>
      <c r="T119" s="68"/>
    </row>
    <row r="120" spans="2:20" ht="12" customHeight="1" x14ac:dyDescent="0.2">
      <c r="B120" s="155"/>
      <c r="C120" s="156"/>
      <c r="D120" s="157"/>
      <c r="E120" s="156"/>
      <c r="F120" s="156"/>
      <c r="G120" s="158"/>
      <c r="H120" s="158"/>
      <c r="I120" s="158"/>
      <c r="J120" s="157"/>
      <c r="K120" s="157"/>
      <c r="L120" s="159"/>
      <c r="M120" s="159"/>
      <c r="N120" s="157"/>
      <c r="O120" s="157"/>
      <c r="P120" s="157"/>
      <c r="Q120" s="157"/>
      <c r="R120" s="160"/>
      <c r="S120" s="161"/>
      <c r="T120" s="162"/>
    </row>
    <row r="121" spans="2:20" ht="15" x14ac:dyDescent="0.25">
      <c r="B121" s="47" t="s">
        <v>20</v>
      </c>
      <c r="C121" s="48">
        <v>311</v>
      </c>
      <c r="D121" s="49">
        <v>43822</v>
      </c>
      <c r="E121" s="50">
        <v>1005.91795036</v>
      </c>
      <c r="F121" s="51">
        <v>5750</v>
      </c>
      <c r="G121" s="52" t="s">
        <v>20</v>
      </c>
      <c r="H121" s="53"/>
      <c r="I121" s="53"/>
      <c r="J121" s="54"/>
      <c r="K121" s="54"/>
      <c r="L121" s="55"/>
      <c r="M121" s="54"/>
      <c r="N121" s="47"/>
      <c r="O121" s="56"/>
      <c r="P121" s="47"/>
      <c r="Q121" s="56"/>
      <c r="R121" s="57"/>
      <c r="S121" s="58">
        <f t="shared" ref="S121" si="24">E121*F121</f>
        <v>5784028.2145699998</v>
      </c>
      <c r="T121" s="68"/>
    </row>
    <row r="122" spans="2:20" ht="12" customHeight="1" x14ac:dyDescent="0.25">
      <c r="B122" s="47" t="s">
        <v>20</v>
      </c>
      <c r="C122" s="48" t="s">
        <v>21</v>
      </c>
      <c r="D122" s="49"/>
      <c r="E122" s="50"/>
      <c r="F122" s="51"/>
      <c r="G122" s="52" t="s">
        <v>22</v>
      </c>
      <c r="H122" s="53"/>
      <c r="I122" s="53"/>
      <c r="J122" s="54"/>
      <c r="K122" s="54"/>
      <c r="L122" s="55"/>
      <c r="M122" s="54"/>
      <c r="N122" s="47"/>
      <c r="O122" s="56"/>
      <c r="P122" s="47"/>
      <c r="Q122" s="56"/>
      <c r="R122" s="57"/>
      <c r="S122" s="58">
        <f>SUM(S121:S121)</f>
        <v>5784028.2145699998</v>
      </c>
      <c r="T122" s="68"/>
    </row>
    <row r="123" spans="2:20" ht="12" customHeight="1" x14ac:dyDescent="0.25">
      <c r="B123" s="150" t="s">
        <v>23</v>
      </c>
      <c r="C123" s="17"/>
      <c r="D123" s="61"/>
      <c r="E123" s="17"/>
      <c r="F123" s="17"/>
      <c r="G123" s="17" t="s">
        <v>24</v>
      </c>
      <c r="H123" s="17" t="s">
        <v>25</v>
      </c>
      <c r="I123" s="17" t="s">
        <v>26</v>
      </c>
      <c r="J123" s="62">
        <v>341</v>
      </c>
      <c r="K123" s="62" t="s">
        <v>27</v>
      </c>
      <c r="L123" s="63" t="s">
        <v>28</v>
      </c>
      <c r="M123" s="62" t="s">
        <v>29</v>
      </c>
      <c r="N123" s="64">
        <f t="array" ref="N123">S122*0.5%</f>
        <v>28920.141072850001</v>
      </c>
      <c r="O123" s="65">
        <v>0.1115</v>
      </c>
      <c r="P123" s="60">
        <f t="array" ref="P123">N123/(1-O123)</f>
        <v>32549.399069048963</v>
      </c>
      <c r="Q123" s="65">
        <v>6.1499999999999999E-2</v>
      </c>
      <c r="R123" s="66">
        <f>Q123*P123</f>
        <v>2001.7880427465111</v>
      </c>
      <c r="S123" s="60">
        <f t="shared" ref="S123" si="25">P123*(1-Q123)</f>
        <v>30547.611026302453</v>
      </c>
      <c r="T123" s="67" t="s">
        <v>77</v>
      </c>
    </row>
    <row r="124" spans="2:20" ht="12" customHeight="1" x14ac:dyDescent="0.25">
      <c r="B124" s="68" t="s">
        <v>23</v>
      </c>
      <c r="C124" s="69"/>
      <c r="D124" s="49"/>
      <c r="E124" s="69"/>
      <c r="F124" s="69"/>
      <c r="G124" s="69" t="s">
        <v>30</v>
      </c>
      <c r="H124" s="69" t="s">
        <v>25</v>
      </c>
      <c r="I124" s="69" t="s">
        <v>26</v>
      </c>
      <c r="J124" s="184">
        <v>341</v>
      </c>
      <c r="K124" s="184" t="s">
        <v>27</v>
      </c>
      <c r="L124" s="71" t="s">
        <v>28</v>
      </c>
      <c r="M124" s="184" t="s">
        <v>29</v>
      </c>
      <c r="N124" s="72">
        <f>S122*2%</f>
        <v>115680.56429140001</v>
      </c>
      <c r="O124" s="73">
        <v>0.1115</v>
      </c>
      <c r="P124" s="68">
        <f>(N124/(1-O124))-P126</f>
        <v>115737.52573977085</v>
      </c>
      <c r="Q124" s="73">
        <v>6.1499999999999999E-2</v>
      </c>
      <c r="R124" s="74">
        <f t="array" ref="R124">Q124*P124</f>
        <v>7117.8578329959073</v>
      </c>
      <c r="S124" s="68">
        <f>P124*(1-Q124)</f>
        <v>108619.66790677494</v>
      </c>
      <c r="T124" s="152" t="s">
        <v>72</v>
      </c>
    </row>
    <row r="125" spans="2:20" ht="12" customHeight="1" x14ac:dyDescent="0.25">
      <c r="B125" s="150" t="s">
        <v>23</v>
      </c>
      <c r="C125" s="17"/>
      <c r="D125" s="61"/>
      <c r="E125" s="17"/>
      <c r="F125" s="17"/>
      <c r="G125" s="17" t="s">
        <v>83</v>
      </c>
      <c r="H125" s="17" t="s">
        <v>25</v>
      </c>
      <c r="I125" s="17" t="s">
        <v>26</v>
      </c>
      <c r="J125" s="62">
        <v>341</v>
      </c>
      <c r="K125" s="62" t="s">
        <v>27</v>
      </c>
      <c r="L125" s="63" t="s">
        <v>28</v>
      </c>
      <c r="M125" s="62" t="s">
        <v>29</v>
      </c>
      <c r="N125" s="64">
        <f>S122*0.9%</f>
        <v>52056.253931130006</v>
      </c>
      <c r="O125" s="65">
        <v>0.1115</v>
      </c>
      <c r="P125" s="60">
        <f t="shared" ref="P125" si="26">N125/(1-O125)</f>
        <v>58588.918324288134</v>
      </c>
      <c r="Q125" s="65">
        <v>6.1499999999999999E-2</v>
      </c>
      <c r="R125" s="66">
        <f>Q125*P125</f>
        <v>3603.2184769437204</v>
      </c>
      <c r="S125" s="60">
        <f>P125*(1-Q125)</f>
        <v>54985.699847344411</v>
      </c>
      <c r="T125" s="67" t="s">
        <v>78</v>
      </c>
    </row>
    <row r="126" spans="2:20" ht="12" customHeight="1" x14ac:dyDescent="0.25">
      <c r="B126" s="150" t="s">
        <v>23</v>
      </c>
      <c r="C126" s="17"/>
      <c r="D126" s="61"/>
      <c r="E126" s="17"/>
      <c r="F126" s="17"/>
      <c r="G126" s="17" t="s">
        <v>102</v>
      </c>
      <c r="H126" s="17" t="s">
        <v>103</v>
      </c>
      <c r="I126" s="17" t="s">
        <v>104</v>
      </c>
      <c r="J126" s="62">
        <v>77</v>
      </c>
      <c r="K126" s="62" t="s">
        <v>105</v>
      </c>
      <c r="L126" s="63" t="s">
        <v>106</v>
      </c>
      <c r="M126" s="62">
        <v>40760111</v>
      </c>
      <c r="N126" s="64"/>
      <c r="O126" s="65"/>
      <c r="P126" s="60">
        <f>S122*0.25%</f>
        <v>14460.070536425001</v>
      </c>
      <c r="Q126" s="65">
        <v>6.1499999999999999E-2</v>
      </c>
      <c r="R126" s="66">
        <f>Q126*P126</f>
        <v>889.29433799013748</v>
      </c>
      <c r="S126" s="60">
        <f>P126*(1-Q126)</f>
        <v>13570.776198434864</v>
      </c>
      <c r="T126" s="67" t="s">
        <v>107</v>
      </c>
    </row>
    <row r="127" spans="2:20" ht="12" customHeight="1" x14ac:dyDescent="0.2">
      <c r="G127" s="121" t="s">
        <v>51</v>
      </c>
      <c r="H127" s="121"/>
      <c r="I127" s="121"/>
      <c r="J127" s="266"/>
      <c r="K127" s="266"/>
      <c r="L127" s="266"/>
      <c r="M127" s="266"/>
      <c r="N127" s="122"/>
      <c r="O127" s="123"/>
      <c r="P127" s="122"/>
      <c r="Q127" s="123"/>
      <c r="R127" s="124"/>
      <c r="S127" s="122">
        <f>SUM(S128:S129)</f>
        <v>13612.158690676277</v>
      </c>
    </row>
    <row r="128" spans="2:20" ht="12" customHeight="1" x14ac:dyDescent="0.2">
      <c r="B128" s="184" t="s">
        <v>52</v>
      </c>
      <c r="C128" s="69"/>
      <c r="D128" s="125"/>
      <c r="E128" s="69"/>
      <c r="F128" s="69"/>
      <c r="G128" s="126" t="s">
        <v>53</v>
      </c>
      <c r="H128" s="69" t="s">
        <v>25</v>
      </c>
      <c r="I128" s="69" t="s">
        <v>26</v>
      </c>
      <c r="J128" s="267"/>
      <c r="K128" s="267"/>
      <c r="L128" s="267"/>
      <c r="M128" s="267"/>
      <c r="N128" s="68"/>
      <c r="O128" s="73"/>
      <c r="P128" s="127"/>
      <c r="Q128" s="73"/>
      <c r="R128" s="74"/>
      <c r="S128" s="68">
        <f t="array" ref="S128">SUM(R123:R125)</f>
        <v>12722.86435268614</v>
      </c>
      <c r="T128" s="68"/>
    </row>
    <row r="129" spans="2:20" ht="12" customHeight="1" x14ac:dyDescent="0.2">
      <c r="B129" s="184" t="s">
        <v>52</v>
      </c>
      <c r="C129" s="69"/>
      <c r="D129" s="125"/>
      <c r="E129" s="69"/>
      <c r="F129" s="69"/>
      <c r="G129" s="126" t="s">
        <v>108</v>
      </c>
      <c r="H129" s="69" t="s">
        <v>103</v>
      </c>
      <c r="I129" s="69" t="s">
        <v>104</v>
      </c>
      <c r="J129" s="183"/>
      <c r="K129" s="183"/>
      <c r="L129" s="183"/>
      <c r="M129" s="183"/>
      <c r="N129" s="68"/>
      <c r="O129" s="73"/>
      <c r="P129" s="127"/>
      <c r="Q129" s="73"/>
      <c r="R129" s="74"/>
      <c r="S129" s="68">
        <f t="array" ref="S129">SUM(R126)</f>
        <v>889.29433799013748</v>
      </c>
      <c r="T129" s="68"/>
    </row>
    <row r="130" spans="2:20" ht="12" customHeight="1" x14ac:dyDescent="0.2">
      <c r="B130" s="150" t="s">
        <v>23</v>
      </c>
      <c r="C130" s="147"/>
      <c r="D130" s="151"/>
      <c r="E130" s="147"/>
      <c r="F130" s="147"/>
      <c r="G130" s="147" t="s">
        <v>75</v>
      </c>
      <c r="H130" s="147" t="s">
        <v>46</v>
      </c>
      <c r="I130" s="147" t="s">
        <v>47</v>
      </c>
      <c r="J130" s="150">
        <v>341</v>
      </c>
      <c r="K130" s="150" t="s">
        <v>27</v>
      </c>
      <c r="L130" s="150" t="s">
        <v>76</v>
      </c>
      <c r="M130" s="150" t="s">
        <v>81</v>
      </c>
      <c r="N130" s="67"/>
      <c r="O130" s="148"/>
      <c r="P130" s="67"/>
      <c r="Q130" s="148"/>
      <c r="R130" s="149"/>
      <c r="S130" s="67">
        <v>140714.55941749999</v>
      </c>
    </row>
    <row r="131" spans="2:20" ht="12" customHeight="1" x14ac:dyDescent="0.2">
      <c r="B131" s="134" t="s">
        <v>23</v>
      </c>
      <c r="C131" s="129"/>
      <c r="D131" s="130"/>
      <c r="E131" s="129"/>
      <c r="F131" s="129"/>
      <c r="G131" s="129" t="s">
        <v>110</v>
      </c>
      <c r="H131" s="147" t="s">
        <v>46</v>
      </c>
      <c r="I131" s="147" t="s">
        <v>47</v>
      </c>
      <c r="J131" s="150">
        <v>341</v>
      </c>
      <c r="K131" s="150" t="s">
        <v>27</v>
      </c>
      <c r="L131" s="133" t="s">
        <v>76</v>
      </c>
      <c r="M131" s="133" t="s">
        <v>81</v>
      </c>
      <c r="N131" s="172"/>
      <c r="O131" s="135"/>
      <c r="P131" s="134"/>
      <c r="Q131" s="135"/>
      <c r="R131" s="137"/>
      <c r="S131" s="134">
        <f>S122-SUM(S123:S127,S130)</f>
        <v>5421977.7414829666</v>
      </c>
      <c r="T131" s="173"/>
    </row>
    <row r="132" spans="2:20" ht="12" customHeight="1" x14ac:dyDescent="0.2">
      <c r="B132" s="141" t="s">
        <v>21</v>
      </c>
      <c r="C132" s="142"/>
      <c r="D132" s="143"/>
      <c r="E132" s="142"/>
      <c r="F132" s="142"/>
      <c r="G132" s="144"/>
      <c r="H132" s="144"/>
      <c r="I132" s="144"/>
      <c r="J132" s="143"/>
      <c r="K132" s="143"/>
      <c r="L132" s="145"/>
      <c r="M132" s="145"/>
      <c r="N132" s="143"/>
      <c r="O132" s="143"/>
      <c r="P132" s="143"/>
      <c r="Q132" s="143"/>
      <c r="R132" s="74"/>
      <c r="S132" s="146">
        <f>S122-SUM(S123:S127,S130:S131)</f>
        <v>0</v>
      </c>
      <c r="T132" s="68"/>
    </row>
    <row r="133" spans="2:20" ht="12" customHeight="1" x14ac:dyDescent="0.2">
      <c r="B133" s="155"/>
      <c r="C133" s="156"/>
      <c r="D133" s="157"/>
      <c r="E133" s="156"/>
      <c r="F133" s="156"/>
      <c r="G133" s="158"/>
      <c r="H133" s="158"/>
      <c r="I133" s="158"/>
      <c r="J133" s="157"/>
      <c r="K133" s="157"/>
      <c r="L133" s="159"/>
      <c r="M133" s="159"/>
      <c r="N133" s="157"/>
      <c r="O133" s="157"/>
      <c r="P133" s="157"/>
      <c r="Q133" s="157"/>
      <c r="R133" s="160"/>
      <c r="S133" s="161"/>
      <c r="T133" s="162"/>
    </row>
    <row r="134" spans="2:20" ht="15" x14ac:dyDescent="0.25">
      <c r="B134" s="47" t="s">
        <v>20</v>
      </c>
      <c r="C134" s="48">
        <v>315</v>
      </c>
      <c r="D134" s="49">
        <v>43859</v>
      </c>
      <c r="E134" s="50">
        <v>1000</v>
      </c>
      <c r="F134" s="51">
        <v>5600</v>
      </c>
      <c r="G134" s="52" t="s">
        <v>20</v>
      </c>
      <c r="H134" s="53"/>
      <c r="I134" s="53"/>
      <c r="J134" s="54"/>
      <c r="K134" s="54"/>
      <c r="L134" s="55"/>
      <c r="M134" s="54"/>
      <c r="N134" s="47"/>
      <c r="O134" s="56"/>
      <c r="P134" s="47"/>
      <c r="Q134" s="56"/>
      <c r="R134" s="57"/>
      <c r="S134" s="58">
        <f t="shared" ref="S134:S135" si="27">E134*F134</f>
        <v>5600000</v>
      </c>
      <c r="T134" s="68"/>
    </row>
    <row r="135" spans="2:20" ht="15" x14ac:dyDescent="0.25">
      <c r="B135" s="47" t="s">
        <v>20</v>
      </c>
      <c r="C135" s="48">
        <v>316</v>
      </c>
      <c r="D135" s="49">
        <v>43859</v>
      </c>
      <c r="E135" s="50">
        <v>1000</v>
      </c>
      <c r="F135" s="50">
        <v>11375</v>
      </c>
      <c r="G135" s="52" t="s">
        <v>20</v>
      </c>
      <c r="H135" s="53"/>
      <c r="I135" s="53"/>
      <c r="J135" s="54"/>
      <c r="K135" s="54"/>
      <c r="L135" s="55"/>
      <c r="M135" s="54"/>
      <c r="N135" s="47"/>
      <c r="O135" s="56"/>
      <c r="P135" s="47"/>
      <c r="Q135" s="56"/>
      <c r="R135" s="57"/>
      <c r="S135" s="58">
        <f t="shared" si="27"/>
        <v>11375000</v>
      </c>
      <c r="T135" s="68"/>
    </row>
    <row r="136" spans="2:20" ht="12" customHeight="1" x14ac:dyDescent="0.25">
      <c r="B136" s="47" t="s">
        <v>20</v>
      </c>
      <c r="C136" s="48" t="s">
        <v>21</v>
      </c>
      <c r="D136" s="49"/>
      <c r="E136" s="50"/>
      <c r="F136" s="51"/>
      <c r="G136" s="52" t="s">
        <v>22</v>
      </c>
      <c r="H136" s="53"/>
      <c r="I136" s="53"/>
      <c r="J136" s="54"/>
      <c r="K136" s="54"/>
      <c r="L136" s="55"/>
      <c r="M136" s="54"/>
      <c r="N136" s="47"/>
      <c r="O136" s="56"/>
      <c r="P136" s="47"/>
      <c r="Q136" s="56"/>
      <c r="R136" s="57"/>
      <c r="S136" s="58">
        <f>SUM(S134:S135)</f>
        <v>16975000</v>
      </c>
      <c r="T136" s="68"/>
    </row>
    <row r="137" spans="2:20" ht="12" customHeight="1" x14ac:dyDescent="0.25">
      <c r="B137" s="150" t="s">
        <v>23</v>
      </c>
      <c r="C137" s="17"/>
      <c r="D137" s="61"/>
      <c r="E137" s="17"/>
      <c r="F137" s="17"/>
      <c r="G137" s="17" t="s">
        <v>24</v>
      </c>
      <c r="H137" s="17" t="s">
        <v>25</v>
      </c>
      <c r="I137" s="17" t="s">
        <v>26</v>
      </c>
      <c r="J137" s="62">
        <v>341</v>
      </c>
      <c r="K137" s="62" t="s">
        <v>27</v>
      </c>
      <c r="L137" s="63" t="s">
        <v>28</v>
      </c>
      <c r="M137" s="62" t="s">
        <v>29</v>
      </c>
      <c r="N137" s="64">
        <f>S136*0.5%</f>
        <v>84875</v>
      </c>
      <c r="O137" s="65">
        <v>0.1115</v>
      </c>
      <c r="P137" s="60">
        <f>N137/(1-O137)</f>
        <v>95526.167698368037</v>
      </c>
      <c r="Q137" s="65">
        <v>6.1499999999999999E-2</v>
      </c>
      <c r="R137" s="66">
        <f>Q137*P137</f>
        <v>5874.8593134496341</v>
      </c>
      <c r="S137" s="60">
        <f>P137*(1-Q137)</f>
        <v>89651.308384918404</v>
      </c>
      <c r="T137" s="67" t="s">
        <v>77</v>
      </c>
    </row>
    <row r="138" spans="2:20" ht="12" customHeight="1" x14ac:dyDescent="0.25">
      <c r="B138" s="68" t="s">
        <v>23</v>
      </c>
      <c r="C138" s="69"/>
      <c r="D138" s="49"/>
      <c r="E138" s="69"/>
      <c r="F138" s="69"/>
      <c r="G138" s="69" t="s">
        <v>30</v>
      </c>
      <c r="H138" s="69" t="s">
        <v>25</v>
      </c>
      <c r="I138" s="69" t="s">
        <v>26</v>
      </c>
      <c r="J138" s="186">
        <v>341</v>
      </c>
      <c r="K138" s="186" t="s">
        <v>27</v>
      </c>
      <c r="L138" s="71" t="s">
        <v>28</v>
      </c>
      <c r="M138" s="186" t="s">
        <v>29</v>
      </c>
      <c r="N138" s="72">
        <f>S136*2%</f>
        <v>339500</v>
      </c>
      <c r="O138" s="73">
        <v>0.1115</v>
      </c>
      <c r="P138" s="68">
        <f>(N138/(1-O138))-P140</f>
        <v>339667.17079347215</v>
      </c>
      <c r="Q138" s="73">
        <v>6.1499999999999999E-2</v>
      </c>
      <c r="R138" s="74">
        <f t="array" ref="R138">Q138*P138</f>
        <v>20889.531003798536</v>
      </c>
      <c r="S138" s="68">
        <f>P138*(1-Q138)</f>
        <v>318777.63978967362</v>
      </c>
      <c r="T138" s="152" t="s">
        <v>72</v>
      </c>
    </row>
    <row r="139" spans="2:20" ht="12" customHeight="1" x14ac:dyDescent="0.25">
      <c r="B139" s="150" t="s">
        <v>23</v>
      </c>
      <c r="C139" s="17"/>
      <c r="D139" s="61"/>
      <c r="E139" s="17"/>
      <c r="F139" s="17"/>
      <c r="G139" s="17" t="s">
        <v>83</v>
      </c>
      <c r="H139" s="17" t="s">
        <v>25</v>
      </c>
      <c r="I139" s="17" t="s">
        <v>26</v>
      </c>
      <c r="J139" s="62">
        <v>341</v>
      </c>
      <c r="K139" s="62" t="s">
        <v>27</v>
      </c>
      <c r="L139" s="63" t="s">
        <v>28</v>
      </c>
      <c r="M139" s="62" t="s">
        <v>29</v>
      </c>
      <c r="N139" s="64">
        <f>S136*0.9%</f>
        <v>152775.00000000003</v>
      </c>
      <c r="O139" s="65">
        <v>0.1115</v>
      </c>
      <c r="P139" s="60">
        <f t="shared" ref="P139" si="28">N139/(1-O139)</f>
        <v>171947.10185706252</v>
      </c>
      <c r="Q139" s="65">
        <v>6.1499999999999999E-2</v>
      </c>
      <c r="R139" s="66">
        <f>Q139*P139</f>
        <v>10574.746764209345</v>
      </c>
      <c r="S139" s="60">
        <f>P139*(1-Q139)</f>
        <v>161372.35509285316</v>
      </c>
      <c r="T139" s="67" t="s">
        <v>78</v>
      </c>
    </row>
    <row r="140" spans="2:20" ht="12" customHeight="1" x14ac:dyDescent="0.25">
      <c r="B140" s="150" t="s">
        <v>23</v>
      </c>
      <c r="C140" s="17"/>
      <c r="D140" s="61"/>
      <c r="E140" s="17"/>
      <c r="F140" s="17"/>
      <c r="G140" s="17" t="s">
        <v>102</v>
      </c>
      <c r="H140" s="17" t="s">
        <v>103</v>
      </c>
      <c r="I140" s="17" t="s">
        <v>104</v>
      </c>
      <c r="J140" s="62">
        <v>77</v>
      </c>
      <c r="K140" s="62" t="s">
        <v>105</v>
      </c>
      <c r="L140" s="63" t="s">
        <v>106</v>
      </c>
      <c r="M140" s="62">
        <v>40760111</v>
      </c>
      <c r="N140" s="64"/>
      <c r="O140" s="65"/>
      <c r="P140" s="60">
        <f>S136*0.25%</f>
        <v>42437.5</v>
      </c>
      <c r="Q140" s="65">
        <v>6.1499999999999999E-2</v>
      </c>
      <c r="R140" s="66">
        <f>Q140*P140</f>
        <v>2609.90625</v>
      </c>
      <c r="S140" s="60">
        <f>P140*(1-Q140)</f>
        <v>39827.59375</v>
      </c>
      <c r="T140" s="67" t="s">
        <v>107</v>
      </c>
    </row>
    <row r="141" spans="2:20" ht="12" customHeight="1" x14ac:dyDescent="0.2">
      <c r="G141" s="121" t="s">
        <v>51</v>
      </c>
      <c r="H141" s="121"/>
      <c r="I141" s="121"/>
      <c r="J141" s="266"/>
      <c r="K141" s="266"/>
      <c r="L141" s="266"/>
      <c r="M141" s="266"/>
      <c r="N141" s="122"/>
      <c r="O141" s="123"/>
      <c r="P141" s="122"/>
      <c r="Q141" s="123"/>
      <c r="R141" s="124"/>
      <c r="S141" s="122">
        <f>SUM(S142:S143)</f>
        <v>39949.043331457513</v>
      </c>
    </row>
    <row r="142" spans="2:20" ht="12" customHeight="1" x14ac:dyDescent="0.2">
      <c r="B142" s="186" t="s">
        <v>52</v>
      </c>
      <c r="C142" s="69"/>
      <c r="D142" s="125"/>
      <c r="E142" s="69"/>
      <c r="F142" s="69"/>
      <c r="G142" s="126" t="s">
        <v>53</v>
      </c>
      <c r="H142" s="69" t="s">
        <v>25</v>
      </c>
      <c r="I142" s="69" t="s">
        <v>26</v>
      </c>
      <c r="J142" s="267"/>
      <c r="K142" s="267"/>
      <c r="L142" s="267"/>
      <c r="M142" s="267"/>
      <c r="N142" s="68"/>
      <c r="O142" s="73"/>
      <c r="P142" s="127"/>
      <c r="Q142" s="73"/>
      <c r="R142" s="74"/>
      <c r="S142" s="68">
        <f>SUM(R137:R139)</f>
        <v>37339.137081457513</v>
      </c>
      <c r="T142" s="68"/>
    </row>
    <row r="143" spans="2:20" ht="12" customHeight="1" x14ac:dyDescent="0.2">
      <c r="B143" s="186" t="s">
        <v>52</v>
      </c>
      <c r="C143" s="69"/>
      <c r="D143" s="125"/>
      <c r="E143" s="69"/>
      <c r="F143" s="69"/>
      <c r="G143" s="126" t="s">
        <v>108</v>
      </c>
      <c r="H143" s="69" t="s">
        <v>103</v>
      </c>
      <c r="I143" s="69" t="s">
        <v>104</v>
      </c>
      <c r="J143" s="185"/>
      <c r="K143" s="185"/>
      <c r="L143" s="185"/>
      <c r="M143" s="185"/>
      <c r="N143" s="68"/>
      <c r="O143" s="73"/>
      <c r="P143" s="127"/>
      <c r="Q143" s="73"/>
      <c r="R143" s="74"/>
      <c r="S143" s="68">
        <f>SUM(R140)</f>
        <v>2609.90625</v>
      </c>
      <c r="T143" s="68"/>
    </row>
    <row r="144" spans="2:20" ht="12" customHeight="1" x14ac:dyDescent="0.2">
      <c r="B144" s="150" t="s">
        <v>23</v>
      </c>
      <c r="C144" s="147"/>
      <c r="D144" s="151"/>
      <c r="E144" s="147"/>
      <c r="F144" s="147"/>
      <c r="G144" s="147" t="s">
        <v>75</v>
      </c>
      <c r="H144" s="147" t="s">
        <v>46</v>
      </c>
      <c r="I144" s="147" t="s">
        <v>47</v>
      </c>
      <c r="J144" s="150">
        <v>341</v>
      </c>
      <c r="K144" s="150" t="s">
        <v>27</v>
      </c>
      <c r="L144" s="150" t="s">
        <v>76</v>
      </c>
      <c r="M144" s="150" t="s">
        <v>81</v>
      </c>
      <c r="N144" s="67"/>
      <c r="O144" s="148"/>
      <c r="P144" s="67"/>
      <c r="Q144" s="148"/>
      <c r="R144" s="149"/>
      <c r="S144" s="67">
        <f>288526.29+605729.29</f>
        <v>894255.58000000007</v>
      </c>
    </row>
    <row r="145" spans="2:20" ht="12" customHeight="1" x14ac:dyDescent="0.2">
      <c r="B145" s="68" t="s">
        <v>23</v>
      </c>
      <c r="C145" s="69"/>
      <c r="D145" s="125"/>
      <c r="E145" s="69"/>
      <c r="F145" s="69"/>
      <c r="G145" s="69" t="s">
        <v>92</v>
      </c>
      <c r="H145" s="69" t="s">
        <v>96</v>
      </c>
      <c r="I145" s="69" t="s">
        <v>97</v>
      </c>
      <c r="J145" s="71" t="s">
        <v>98</v>
      </c>
      <c r="K145" s="186" t="s">
        <v>93</v>
      </c>
      <c r="L145" s="71" t="s">
        <v>95</v>
      </c>
      <c r="M145" s="71" t="s">
        <v>94</v>
      </c>
      <c r="N145" s="72"/>
      <c r="O145" s="73"/>
      <c r="P145" s="68"/>
      <c r="Q145" s="73"/>
      <c r="R145" s="74"/>
      <c r="S145" s="134">
        <f>S136-SUM(S137:S141,S144)</f>
        <v>15431166.479651097</v>
      </c>
      <c r="T145" s="173"/>
    </row>
    <row r="146" spans="2:20" ht="12" customHeight="1" x14ac:dyDescent="0.2">
      <c r="B146" s="141" t="s">
        <v>21</v>
      </c>
      <c r="C146" s="142"/>
      <c r="D146" s="143"/>
      <c r="E146" s="142"/>
      <c r="F146" s="142"/>
      <c r="G146" s="144"/>
      <c r="H146" s="144"/>
      <c r="I146" s="144"/>
      <c r="J146" s="143"/>
      <c r="K146" s="143"/>
      <c r="L146" s="145"/>
      <c r="M146" s="145"/>
      <c r="N146" s="143"/>
      <c r="O146" s="143"/>
      <c r="P146" s="143"/>
      <c r="Q146" s="143"/>
      <c r="R146" s="74"/>
      <c r="S146" s="146">
        <f>S136-SUM(S137:S141,S144:S145)</f>
        <v>0</v>
      </c>
      <c r="T146" s="68"/>
    </row>
    <row r="147" spans="2:20" ht="12" customHeight="1" x14ac:dyDescent="0.2">
      <c r="B147" s="155"/>
      <c r="C147" s="156"/>
      <c r="D147" s="157"/>
      <c r="E147" s="156"/>
      <c r="F147" s="156"/>
      <c r="G147" s="158"/>
      <c r="H147" s="158"/>
      <c r="I147" s="158"/>
      <c r="J147" s="157"/>
      <c r="K147" s="157"/>
      <c r="L147" s="159"/>
      <c r="M147" s="159"/>
      <c r="N147" s="157"/>
      <c r="O147" s="157"/>
      <c r="P147" s="157"/>
      <c r="Q147" s="157"/>
      <c r="R147" s="160"/>
      <c r="S147" s="161"/>
      <c r="T147" s="162"/>
    </row>
    <row r="148" spans="2:20" ht="15" x14ac:dyDescent="0.25">
      <c r="B148" s="47" t="s">
        <v>20</v>
      </c>
      <c r="C148" s="48">
        <v>314</v>
      </c>
      <c r="D148" s="49">
        <v>43875</v>
      </c>
      <c r="E148" s="50">
        <v>1000</v>
      </c>
      <c r="F148" s="51">
        <v>1000</v>
      </c>
      <c r="G148" s="52" t="s">
        <v>20</v>
      </c>
      <c r="H148" s="53"/>
      <c r="I148" s="53"/>
      <c r="J148" s="54"/>
      <c r="K148" s="54"/>
      <c r="L148" s="55"/>
      <c r="M148" s="54"/>
      <c r="N148" s="47"/>
      <c r="O148" s="56"/>
      <c r="P148" s="47"/>
      <c r="Q148" s="56"/>
      <c r="R148" s="57"/>
      <c r="S148" s="192">
        <f>E148*F148</f>
        <v>1000000</v>
      </c>
      <c r="T148" s="68"/>
    </row>
    <row r="149" spans="2:20" ht="12" customHeight="1" x14ac:dyDescent="0.25">
      <c r="B149" s="47" t="s">
        <v>20</v>
      </c>
      <c r="C149" s="48" t="s">
        <v>21</v>
      </c>
      <c r="D149" s="49"/>
      <c r="E149" s="50"/>
      <c r="F149" s="51"/>
      <c r="G149" s="52" t="s">
        <v>22</v>
      </c>
      <c r="H149" s="53"/>
      <c r="I149" s="53"/>
      <c r="J149" s="54"/>
      <c r="K149" s="54"/>
      <c r="L149" s="55"/>
      <c r="M149" s="54"/>
      <c r="N149" s="47"/>
      <c r="O149" s="56"/>
      <c r="P149" s="47"/>
      <c r="Q149" s="56"/>
      <c r="R149" s="57"/>
      <c r="S149" s="192">
        <f>SUM(S148:S148)</f>
        <v>1000000</v>
      </c>
      <c r="T149" s="68"/>
    </row>
    <row r="150" spans="2:20" ht="12" customHeight="1" x14ac:dyDescent="0.25">
      <c r="B150" s="150" t="s">
        <v>23</v>
      </c>
      <c r="C150" s="17"/>
      <c r="D150" s="61"/>
      <c r="E150" s="17"/>
      <c r="F150" s="17"/>
      <c r="G150" s="17" t="s">
        <v>24</v>
      </c>
      <c r="H150" s="17" t="s">
        <v>25</v>
      </c>
      <c r="I150" s="17" t="s">
        <v>26</v>
      </c>
      <c r="J150" s="62">
        <v>341</v>
      </c>
      <c r="K150" s="62" t="s">
        <v>27</v>
      </c>
      <c r="L150" s="63" t="s">
        <v>28</v>
      </c>
      <c r="M150" s="62" t="s">
        <v>29</v>
      </c>
      <c r="N150" s="64">
        <f>S149*0.5%</f>
        <v>5000</v>
      </c>
      <c r="O150" s="65">
        <v>0.1115</v>
      </c>
      <c r="P150" s="60">
        <f>N150/(1-O150)</f>
        <v>5627.4620146314019</v>
      </c>
      <c r="Q150" s="65">
        <v>6.1499999999999999E-2</v>
      </c>
      <c r="R150" s="66">
        <f>Q150*P150</f>
        <v>346.0889138998312</v>
      </c>
      <c r="S150" s="193">
        <f>P150*(1-Q150)</f>
        <v>5281.373100731571</v>
      </c>
      <c r="T150" s="67" t="s">
        <v>77</v>
      </c>
    </row>
    <row r="151" spans="2:20" ht="12" customHeight="1" x14ac:dyDescent="0.25">
      <c r="B151" s="68" t="s">
        <v>23</v>
      </c>
      <c r="C151" s="69"/>
      <c r="D151" s="49"/>
      <c r="E151" s="69"/>
      <c r="F151" s="69"/>
      <c r="G151" s="69" t="s">
        <v>30</v>
      </c>
      <c r="H151" s="69" t="s">
        <v>25</v>
      </c>
      <c r="I151" s="69" t="s">
        <v>26</v>
      </c>
      <c r="J151" s="188">
        <v>341</v>
      </c>
      <c r="K151" s="188" t="s">
        <v>27</v>
      </c>
      <c r="L151" s="71" t="s">
        <v>28</v>
      </c>
      <c r="M151" s="188" t="s">
        <v>29</v>
      </c>
      <c r="N151" s="72">
        <f>S149*2%</f>
        <v>20000</v>
      </c>
      <c r="O151" s="73">
        <v>0.1115</v>
      </c>
      <c r="P151" s="68">
        <f>(N151/(1-O151))-P153</f>
        <v>20009.848058525607</v>
      </c>
      <c r="Q151" s="73">
        <v>6.1499999999999999E-2</v>
      </c>
      <c r="R151" s="74">
        <f t="array" ref="R151">Q151*P151</f>
        <v>1230.6056555993248</v>
      </c>
      <c r="S151" s="194">
        <f>P151*(1-Q151)</f>
        <v>18779.242402926284</v>
      </c>
      <c r="T151" s="152" t="s">
        <v>72</v>
      </c>
    </row>
    <row r="152" spans="2:20" ht="12" customHeight="1" x14ac:dyDescent="0.25">
      <c r="B152" s="150" t="s">
        <v>23</v>
      </c>
      <c r="C152" s="17"/>
      <c r="D152" s="61"/>
      <c r="E152" s="17"/>
      <c r="F152" s="17"/>
      <c r="G152" s="17" t="s">
        <v>83</v>
      </c>
      <c r="H152" s="17" t="s">
        <v>25</v>
      </c>
      <c r="I152" s="17" t="s">
        <v>26</v>
      </c>
      <c r="J152" s="62">
        <v>341</v>
      </c>
      <c r="K152" s="62" t="s">
        <v>27</v>
      </c>
      <c r="L152" s="63" t="s">
        <v>28</v>
      </c>
      <c r="M152" s="62" t="s">
        <v>29</v>
      </c>
      <c r="N152" s="64">
        <f>S149*0.9%</f>
        <v>9000.0000000000018</v>
      </c>
      <c r="O152" s="65">
        <v>0.1115</v>
      </c>
      <c r="P152" s="60">
        <f>N152/(1-O152)</f>
        <v>10129.431626336525</v>
      </c>
      <c r="Q152" s="65">
        <v>6.1499999999999999E-2</v>
      </c>
      <c r="R152" s="66">
        <f>Q152*P152</f>
        <v>622.96004501969628</v>
      </c>
      <c r="S152" s="193">
        <f>P152*(1-Q152)</f>
        <v>9506.4715813168295</v>
      </c>
      <c r="T152" s="67" t="s">
        <v>78</v>
      </c>
    </row>
    <row r="153" spans="2:20" ht="12" customHeight="1" x14ac:dyDescent="0.25">
      <c r="B153" s="150" t="s">
        <v>23</v>
      </c>
      <c r="C153" s="17"/>
      <c r="D153" s="61"/>
      <c r="E153" s="17"/>
      <c r="F153" s="17"/>
      <c r="G153" s="17" t="s">
        <v>102</v>
      </c>
      <c r="H153" s="17" t="s">
        <v>103</v>
      </c>
      <c r="I153" s="17" t="s">
        <v>104</v>
      </c>
      <c r="J153" s="62">
        <v>77</v>
      </c>
      <c r="K153" s="62" t="s">
        <v>105</v>
      </c>
      <c r="L153" s="63" t="s">
        <v>106</v>
      </c>
      <c r="M153" s="62">
        <v>40760111</v>
      </c>
      <c r="N153" s="64"/>
      <c r="O153" s="65"/>
      <c r="P153" s="60">
        <f>S149*0.25%</f>
        <v>2500</v>
      </c>
      <c r="Q153" s="65">
        <v>6.1499999999999999E-2</v>
      </c>
      <c r="R153" s="66">
        <f>Q153*P153</f>
        <v>153.75</v>
      </c>
      <c r="S153" s="193">
        <f>P153*(1-Q153)</f>
        <v>2346.25</v>
      </c>
      <c r="T153" s="67" t="s">
        <v>107</v>
      </c>
    </row>
    <row r="154" spans="2:20" ht="12" customHeight="1" x14ac:dyDescent="0.2">
      <c r="G154" s="121" t="s">
        <v>51</v>
      </c>
      <c r="H154" s="121"/>
      <c r="I154" s="121"/>
      <c r="J154" s="266"/>
      <c r="K154" s="266"/>
      <c r="L154" s="266"/>
      <c r="M154" s="266"/>
      <c r="N154" s="122"/>
      <c r="O154" s="123"/>
      <c r="P154" s="122"/>
      <c r="Q154" s="123"/>
      <c r="R154" s="124"/>
      <c r="S154" s="195">
        <f>SUM(S155:S156)</f>
        <v>2353.4046145188522</v>
      </c>
    </row>
    <row r="155" spans="2:20" ht="12" customHeight="1" x14ac:dyDescent="0.2">
      <c r="B155" s="188" t="s">
        <v>52</v>
      </c>
      <c r="C155" s="69"/>
      <c r="D155" s="125"/>
      <c r="E155" s="69"/>
      <c r="F155" s="69"/>
      <c r="G155" s="126" t="s">
        <v>53</v>
      </c>
      <c r="H155" s="69" t="s">
        <v>25</v>
      </c>
      <c r="I155" s="69" t="s">
        <v>26</v>
      </c>
      <c r="J155" s="267"/>
      <c r="K155" s="267"/>
      <c r="L155" s="267"/>
      <c r="M155" s="267"/>
      <c r="N155" s="68"/>
      <c r="O155" s="73"/>
      <c r="P155" s="127"/>
      <c r="Q155" s="73"/>
      <c r="R155" s="74"/>
      <c r="S155" s="194">
        <f>SUM(R150:R152)</f>
        <v>2199.6546145188522</v>
      </c>
      <c r="T155" s="68"/>
    </row>
    <row r="156" spans="2:20" ht="12" customHeight="1" x14ac:dyDescent="0.2">
      <c r="B156" s="188" t="s">
        <v>52</v>
      </c>
      <c r="C156" s="69"/>
      <c r="D156" s="125"/>
      <c r="E156" s="69"/>
      <c r="F156" s="69"/>
      <c r="G156" s="126" t="s">
        <v>108</v>
      </c>
      <c r="H156" s="69" t="s">
        <v>103</v>
      </c>
      <c r="I156" s="69" t="s">
        <v>104</v>
      </c>
      <c r="J156" s="187"/>
      <c r="K156" s="187"/>
      <c r="L156" s="187"/>
      <c r="M156" s="187"/>
      <c r="N156" s="68"/>
      <c r="O156" s="73"/>
      <c r="P156" s="127"/>
      <c r="Q156" s="73"/>
      <c r="R156" s="74"/>
      <c r="S156" s="194">
        <f>SUM(R153)</f>
        <v>153.75</v>
      </c>
      <c r="T156" s="68"/>
    </row>
    <row r="157" spans="2:20" ht="12" customHeight="1" x14ac:dyDescent="0.2">
      <c r="B157" s="150" t="s">
        <v>23</v>
      </c>
      <c r="C157" s="147"/>
      <c r="D157" s="151"/>
      <c r="E157" s="147"/>
      <c r="F157" s="147"/>
      <c r="G157" s="147" t="s">
        <v>75</v>
      </c>
      <c r="H157" s="147" t="s">
        <v>46</v>
      </c>
      <c r="I157" s="147" t="s">
        <v>47</v>
      </c>
      <c r="J157" s="150">
        <v>341</v>
      </c>
      <c r="K157" s="150" t="s">
        <v>27</v>
      </c>
      <c r="L157" s="150" t="s">
        <v>76</v>
      </c>
      <c r="M157" s="150" t="s">
        <v>81</v>
      </c>
      <c r="N157" s="67"/>
      <c r="O157" s="148"/>
      <c r="P157" s="67"/>
      <c r="Q157" s="148"/>
      <c r="R157" s="149"/>
      <c r="S157" s="196">
        <v>25479.26</v>
      </c>
    </row>
    <row r="158" spans="2:20" ht="12" customHeight="1" x14ac:dyDescent="0.2">
      <c r="B158" s="68" t="s">
        <v>23</v>
      </c>
      <c r="C158" s="69"/>
      <c r="D158" s="125"/>
      <c r="E158" s="69"/>
      <c r="F158" s="69"/>
      <c r="G158" s="69" t="s">
        <v>92</v>
      </c>
      <c r="H158" s="69" t="s">
        <v>96</v>
      </c>
      <c r="I158" s="69" t="s">
        <v>97</v>
      </c>
      <c r="J158" s="71" t="s">
        <v>98</v>
      </c>
      <c r="K158" s="188" t="s">
        <v>93</v>
      </c>
      <c r="L158" s="71" t="s">
        <v>95</v>
      </c>
      <c r="M158" s="71" t="s">
        <v>94</v>
      </c>
      <c r="N158" s="72"/>
      <c r="O158" s="73"/>
      <c r="P158" s="68"/>
      <c r="Q158" s="73"/>
      <c r="R158" s="74"/>
      <c r="S158" s="194">
        <f>S149-SUM(S150:S154,S157)</f>
        <v>936253.9983005065</v>
      </c>
      <c r="T158" s="189"/>
    </row>
    <row r="159" spans="2:20" ht="12" customHeight="1" x14ac:dyDescent="0.2">
      <c r="B159" s="141" t="s">
        <v>21</v>
      </c>
      <c r="C159" s="142"/>
      <c r="D159" s="143"/>
      <c r="E159" s="142"/>
      <c r="F159" s="142"/>
      <c r="G159" s="144"/>
      <c r="H159" s="144"/>
      <c r="I159" s="144"/>
      <c r="J159" s="143"/>
      <c r="K159" s="143"/>
      <c r="L159" s="145"/>
      <c r="M159" s="145"/>
      <c r="N159" s="143"/>
      <c r="O159" s="143"/>
      <c r="P159" s="143"/>
      <c r="Q159" s="143"/>
      <c r="R159" s="74"/>
      <c r="S159" s="197">
        <f>S149-SUM(S150:S154,S157:S158)</f>
        <v>0</v>
      </c>
      <c r="T159" s="68"/>
    </row>
    <row r="160" spans="2:20" ht="12" customHeight="1" x14ac:dyDescent="0.2">
      <c r="B160" s="155"/>
      <c r="C160" s="156"/>
      <c r="D160" s="157"/>
      <c r="E160" s="156"/>
      <c r="F160" s="156"/>
      <c r="G160" s="158"/>
      <c r="H160" s="158"/>
      <c r="I160" s="158"/>
      <c r="J160" s="157"/>
      <c r="K160" s="157"/>
      <c r="L160" s="159"/>
      <c r="M160" s="159"/>
      <c r="N160" s="157"/>
      <c r="O160" s="157"/>
      <c r="P160" s="157"/>
      <c r="Q160" s="157"/>
      <c r="R160" s="160"/>
      <c r="S160" s="161"/>
      <c r="T160" s="162"/>
    </row>
    <row r="161" spans="2:20" ht="15" x14ac:dyDescent="0.25">
      <c r="B161" s="47" t="s">
        <v>20</v>
      </c>
      <c r="C161" s="48">
        <v>314</v>
      </c>
      <c r="D161" s="49">
        <v>43889</v>
      </c>
      <c r="E161" s="50">
        <v>989.71141677000003</v>
      </c>
      <c r="F161" s="51">
        <f>5800+4200</f>
        <v>10000</v>
      </c>
      <c r="G161" s="52" t="s">
        <v>20</v>
      </c>
      <c r="H161" s="53"/>
      <c r="I161" s="53"/>
      <c r="J161" s="54"/>
      <c r="K161" s="54"/>
      <c r="L161" s="55"/>
      <c r="M161" s="54"/>
      <c r="N161" s="47"/>
      <c r="O161" s="56"/>
      <c r="P161" s="47"/>
      <c r="Q161" s="56"/>
      <c r="R161" s="57"/>
      <c r="S161" s="192">
        <f>E161*F161</f>
        <v>9897114.1677000001</v>
      </c>
      <c r="T161" s="68"/>
    </row>
    <row r="162" spans="2:20" ht="12" customHeight="1" x14ac:dyDescent="0.25">
      <c r="B162" s="47" t="s">
        <v>20</v>
      </c>
      <c r="C162" s="48" t="s">
        <v>21</v>
      </c>
      <c r="D162" s="49"/>
      <c r="E162" s="50"/>
      <c r="F162" s="51"/>
      <c r="G162" s="52" t="s">
        <v>22</v>
      </c>
      <c r="H162" s="53"/>
      <c r="I162" s="53"/>
      <c r="J162" s="54"/>
      <c r="K162" s="54"/>
      <c r="L162" s="55"/>
      <c r="M162" s="54"/>
      <c r="N162" s="47"/>
      <c r="O162" s="56"/>
      <c r="P162" s="47"/>
      <c r="Q162" s="56"/>
      <c r="R162" s="57"/>
      <c r="S162" s="192">
        <f>SUM(S161:S161)</f>
        <v>9897114.1677000001</v>
      </c>
      <c r="T162" s="68"/>
    </row>
    <row r="163" spans="2:20" ht="12" customHeight="1" x14ac:dyDescent="0.25">
      <c r="B163" s="150" t="s">
        <v>23</v>
      </c>
      <c r="C163" s="17"/>
      <c r="D163" s="61"/>
      <c r="E163" s="17"/>
      <c r="F163" s="17"/>
      <c r="G163" s="17" t="s">
        <v>24</v>
      </c>
      <c r="H163" s="17" t="s">
        <v>25</v>
      </c>
      <c r="I163" s="17" t="s">
        <v>26</v>
      </c>
      <c r="J163" s="62">
        <v>341</v>
      </c>
      <c r="K163" s="62" t="s">
        <v>27</v>
      </c>
      <c r="L163" s="63" t="s">
        <v>28</v>
      </c>
      <c r="M163" s="62" t="s">
        <v>29</v>
      </c>
      <c r="N163" s="64">
        <f>S162*0.5%</f>
        <v>49485.570838500003</v>
      </c>
      <c r="O163" s="65">
        <v>0.1115</v>
      </c>
      <c r="P163" s="60">
        <f>N163/(1-O163)</f>
        <v>55695.634033202034</v>
      </c>
      <c r="Q163" s="65">
        <v>6.1499999999999999E-2</v>
      </c>
      <c r="R163" s="66">
        <f>Q163*P163</f>
        <v>3425.2814930419249</v>
      </c>
      <c r="S163" s="193">
        <f>P163*(1-Q163)</f>
        <v>52270.352540160107</v>
      </c>
      <c r="T163" s="67" t="s">
        <v>77</v>
      </c>
    </row>
    <row r="164" spans="2:20" ht="12" customHeight="1" x14ac:dyDescent="0.25">
      <c r="B164" s="68" t="s">
        <v>23</v>
      </c>
      <c r="C164" s="69"/>
      <c r="D164" s="49"/>
      <c r="E164" s="69"/>
      <c r="F164" s="69"/>
      <c r="G164" s="69" t="s">
        <v>30</v>
      </c>
      <c r="H164" s="69" t="s">
        <v>25</v>
      </c>
      <c r="I164" s="69" t="s">
        <v>26</v>
      </c>
      <c r="J164" s="191">
        <v>341</v>
      </c>
      <c r="K164" s="191" t="s">
        <v>27</v>
      </c>
      <c r="L164" s="71" t="s">
        <v>28</v>
      </c>
      <c r="M164" s="191" t="s">
        <v>29</v>
      </c>
      <c r="N164" s="72">
        <f>S162*2%</f>
        <v>197942.28335400001</v>
      </c>
      <c r="O164" s="73">
        <v>0.1115</v>
      </c>
      <c r="P164" s="68">
        <f>(N164/(1-O164))-P166</f>
        <v>198039.75071355814</v>
      </c>
      <c r="Q164" s="73">
        <v>6.1499999999999999E-2</v>
      </c>
      <c r="R164" s="74">
        <f t="array" ref="R164">Q164*P164</f>
        <v>12179.444668883825</v>
      </c>
      <c r="S164" s="194">
        <f>P164*(1-Q164)</f>
        <v>185860.3060446743</v>
      </c>
      <c r="T164" s="152" t="s">
        <v>72</v>
      </c>
    </row>
    <row r="165" spans="2:20" ht="12" customHeight="1" x14ac:dyDescent="0.25">
      <c r="B165" s="150" t="s">
        <v>23</v>
      </c>
      <c r="C165" s="17"/>
      <c r="D165" s="61"/>
      <c r="E165" s="17"/>
      <c r="F165" s="17"/>
      <c r="G165" s="17" t="s">
        <v>83</v>
      </c>
      <c r="H165" s="17" t="s">
        <v>25</v>
      </c>
      <c r="I165" s="17" t="s">
        <v>26</v>
      </c>
      <c r="J165" s="62">
        <v>341</v>
      </c>
      <c r="K165" s="62" t="s">
        <v>27</v>
      </c>
      <c r="L165" s="63" t="s">
        <v>28</v>
      </c>
      <c r="M165" s="62" t="s">
        <v>29</v>
      </c>
      <c r="N165" s="64">
        <f>S162*0.9%</f>
        <v>89074.027509300009</v>
      </c>
      <c r="O165" s="65">
        <v>0.1115</v>
      </c>
      <c r="P165" s="60">
        <f>N165/(1-O165)</f>
        <v>100252.14125976367</v>
      </c>
      <c r="Q165" s="65">
        <v>6.1499999999999999E-2</v>
      </c>
      <c r="R165" s="66">
        <f>Q165*P165</f>
        <v>6165.5066874754657</v>
      </c>
      <c r="S165" s="193">
        <f>P165*(1-Q165)</f>
        <v>94086.634572288196</v>
      </c>
      <c r="T165" s="67" t="s">
        <v>78</v>
      </c>
    </row>
    <row r="166" spans="2:20" ht="12" customHeight="1" x14ac:dyDescent="0.25">
      <c r="B166" s="150" t="s">
        <v>23</v>
      </c>
      <c r="C166" s="17"/>
      <c r="D166" s="61"/>
      <c r="E166" s="17"/>
      <c r="F166" s="17"/>
      <c r="G166" s="17" t="s">
        <v>102</v>
      </c>
      <c r="H166" s="17" t="s">
        <v>103</v>
      </c>
      <c r="I166" s="17" t="s">
        <v>104</v>
      </c>
      <c r="J166" s="62">
        <v>77</v>
      </c>
      <c r="K166" s="62" t="s">
        <v>105</v>
      </c>
      <c r="L166" s="63" t="s">
        <v>106</v>
      </c>
      <c r="M166" s="62">
        <v>40760111</v>
      </c>
      <c r="N166" s="64"/>
      <c r="O166" s="65"/>
      <c r="P166" s="60">
        <f>S162*0.25%</f>
        <v>24742.785419250002</v>
      </c>
      <c r="Q166" s="65">
        <v>6.1499999999999999E-2</v>
      </c>
      <c r="R166" s="66">
        <f>Q166*P166</f>
        <v>1521.6813032838752</v>
      </c>
      <c r="S166" s="193">
        <f>P166*(1-Q166)</f>
        <v>23221.104115966125</v>
      </c>
      <c r="T166" s="67" t="s">
        <v>107</v>
      </c>
    </row>
    <row r="167" spans="2:20" ht="12" customHeight="1" x14ac:dyDescent="0.2">
      <c r="G167" s="121" t="s">
        <v>51</v>
      </c>
      <c r="H167" s="121"/>
      <c r="I167" s="121"/>
      <c r="J167" s="266"/>
      <c r="K167" s="266"/>
      <c r="L167" s="266"/>
      <c r="M167" s="266"/>
      <c r="N167" s="122"/>
      <c r="O167" s="123"/>
      <c r="P167" s="122"/>
      <c r="Q167" s="123"/>
      <c r="R167" s="124"/>
      <c r="S167" s="195">
        <f>SUM(S168:S169)</f>
        <v>23291.914152685091</v>
      </c>
    </row>
    <row r="168" spans="2:20" ht="12" customHeight="1" x14ac:dyDescent="0.2">
      <c r="B168" s="191" t="s">
        <v>52</v>
      </c>
      <c r="C168" s="69"/>
      <c r="D168" s="125"/>
      <c r="E168" s="69"/>
      <c r="F168" s="69"/>
      <c r="G168" s="126" t="s">
        <v>53</v>
      </c>
      <c r="H168" s="69" t="s">
        <v>25</v>
      </c>
      <c r="I168" s="69" t="s">
        <v>26</v>
      </c>
      <c r="J168" s="267"/>
      <c r="K168" s="267"/>
      <c r="L168" s="267"/>
      <c r="M168" s="267"/>
      <c r="N168" s="68"/>
      <c r="O168" s="73"/>
      <c r="P168" s="127"/>
      <c r="Q168" s="73"/>
      <c r="R168" s="74"/>
      <c r="S168" s="194">
        <f>SUM(R163:R165)</f>
        <v>21770.232849401214</v>
      </c>
      <c r="T168" s="68"/>
    </row>
    <row r="169" spans="2:20" ht="12" customHeight="1" x14ac:dyDescent="0.2">
      <c r="B169" s="191" t="s">
        <v>52</v>
      </c>
      <c r="C169" s="69"/>
      <c r="D169" s="125"/>
      <c r="E169" s="69"/>
      <c r="F169" s="69"/>
      <c r="G169" s="126" t="s">
        <v>108</v>
      </c>
      <c r="H169" s="69" t="s">
        <v>103</v>
      </c>
      <c r="I169" s="69" t="s">
        <v>104</v>
      </c>
      <c r="J169" s="190"/>
      <c r="K169" s="190"/>
      <c r="L169" s="190"/>
      <c r="M169" s="190"/>
      <c r="N169" s="68"/>
      <c r="O169" s="73"/>
      <c r="P169" s="127"/>
      <c r="Q169" s="73"/>
      <c r="R169" s="74"/>
      <c r="S169" s="194">
        <f>SUM(R166)</f>
        <v>1521.6813032838752</v>
      </c>
      <c r="T169" s="68"/>
    </row>
    <row r="170" spans="2:20" ht="12" customHeight="1" x14ac:dyDescent="0.2">
      <c r="B170" s="150" t="s">
        <v>23</v>
      </c>
      <c r="C170" s="147"/>
      <c r="D170" s="151"/>
      <c r="E170" s="147"/>
      <c r="F170" s="147"/>
      <c r="G170" s="147" t="s">
        <v>75</v>
      </c>
      <c r="H170" s="147" t="s">
        <v>46</v>
      </c>
      <c r="I170" s="147" t="s">
        <v>47</v>
      </c>
      <c r="J170" s="150">
        <v>341</v>
      </c>
      <c r="K170" s="150" t="s">
        <v>27</v>
      </c>
      <c r="L170" s="150" t="s">
        <v>76</v>
      </c>
      <c r="M170" s="150" t="s">
        <v>81</v>
      </c>
      <c r="N170" s="67"/>
      <c r="O170" s="148"/>
      <c r="P170" s="67"/>
      <c r="Q170" s="148"/>
      <c r="R170" s="149"/>
      <c r="S170" s="196">
        <v>252104.7329</v>
      </c>
    </row>
    <row r="171" spans="2:20" ht="12" customHeight="1" x14ac:dyDescent="0.2">
      <c r="B171" s="68" t="s">
        <v>23</v>
      </c>
      <c r="C171" s="69"/>
      <c r="D171" s="125"/>
      <c r="E171" s="69"/>
      <c r="F171" s="69"/>
      <c r="G171" s="69" t="s">
        <v>92</v>
      </c>
      <c r="H171" s="69" t="s">
        <v>96</v>
      </c>
      <c r="I171" s="69" t="s">
        <v>97</v>
      </c>
      <c r="J171" s="71" t="s">
        <v>98</v>
      </c>
      <c r="K171" s="191" t="s">
        <v>93</v>
      </c>
      <c r="L171" s="71" t="s">
        <v>95</v>
      </c>
      <c r="M171" s="71" t="s">
        <v>94</v>
      </c>
      <c r="N171" s="72"/>
      <c r="O171" s="73"/>
      <c r="P171" s="68"/>
      <c r="Q171" s="73"/>
      <c r="R171" s="74"/>
      <c r="S171" s="194">
        <f>S162-SUM(S163:S167,S170)</f>
        <v>9266279.1233742256</v>
      </c>
      <c r="T171" s="189"/>
    </row>
    <row r="172" spans="2:20" ht="12" customHeight="1" x14ac:dyDescent="0.2">
      <c r="B172" s="141" t="s">
        <v>21</v>
      </c>
      <c r="C172" s="142"/>
      <c r="D172" s="143"/>
      <c r="E172" s="142"/>
      <c r="F172" s="142"/>
      <c r="G172" s="144"/>
      <c r="H172" s="144"/>
      <c r="I172" s="144"/>
      <c r="J172" s="143"/>
      <c r="K172" s="143"/>
      <c r="L172" s="145"/>
      <c r="M172" s="145"/>
      <c r="N172" s="143"/>
      <c r="O172" s="143"/>
      <c r="P172" s="143"/>
      <c r="Q172" s="143"/>
      <c r="R172" s="74"/>
      <c r="S172" s="197">
        <f>S162-SUM(S163:S167,S170:S171)</f>
        <v>0</v>
      </c>
      <c r="T172" s="68"/>
    </row>
    <row r="173" spans="2:20" ht="12" customHeight="1" x14ac:dyDescent="0.2">
      <c r="B173" s="155"/>
      <c r="C173" s="156"/>
      <c r="D173" s="157"/>
      <c r="E173" s="156"/>
      <c r="F173" s="156"/>
      <c r="G173" s="158"/>
      <c r="H173" s="158"/>
      <c r="I173" s="158"/>
      <c r="J173" s="157"/>
      <c r="K173" s="157"/>
      <c r="L173" s="159"/>
      <c r="M173" s="159"/>
      <c r="N173" s="157"/>
      <c r="O173" s="157"/>
      <c r="P173" s="157"/>
      <c r="Q173" s="157"/>
      <c r="R173" s="160"/>
      <c r="S173" s="161"/>
      <c r="T173" s="162"/>
    </row>
    <row r="174" spans="2:20" ht="15" x14ac:dyDescent="0.25">
      <c r="B174" s="47" t="s">
        <v>20</v>
      </c>
      <c r="C174" s="48">
        <v>314</v>
      </c>
      <c r="D174" s="49">
        <v>43896</v>
      </c>
      <c r="E174" s="50">
        <v>992.04256922000002</v>
      </c>
      <c r="F174" s="51">
        <v>10000</v>
      </c>
      <c r="G174" s="52" t="s">
        <v>20</v>
      </c>
      <c r="H174" s="53"/>
      <c r="I174" s="53"/>
      <c r="J174" s="54"/>
      <c r="K174" s="54"/>
      <c r="L174" s="55"/>
      <c r="M174" s="54"/>
      <c r="N174" s="47"/>
      <c r="O174" s="56"/>
      <c r="P174" s="47"/>
      <c r="Q174" s="56"/>
      <c r="R174" s="57"/>
      <c r="S174" s="192">
        <f>E174*F174</f>
        <v>9920425.6921999995</v>
      </c>
      <c r="T174" s="68"/>
    </row>
    <row r="175" spans="2:20" ht="12" customHeight="1" x14ac:dyDescent="0.25">
      <c r="B175" s="47" t="s">
        <v>20</v>
      </c>
      <c r="C175" s="48" t="s">
        <v>21</v>
      </c>
      <c r="D175" s="49"/>
      <c r="E175" s="50"/>
      <c r="F175" s="51"/>
      <c r="G175" s="52" t="s">
        <v>22</v>
      </c>
      <c r="H175" s="53"/>
      <c r="I175" s="53"/>
      <c r="J175" s="54"/>
      <c r="K175" s="54"/>
      <c r="L175" s="55"/>
      <c r="M175" s="54"/>
      <c r="N175" s="47"/>
      <c r="O175" s="56"/>
      <c r="P175" s="47"/>
      <c r="Q175" s="56"/>
      <c r="R175" s="57"/>
      <c r="S175" s="192">
        <f>SUM(S174:S174)</f>
        <v>9920425.6921999995</v>
      </c>
      <c r="T175" s="68"/>
    </row>
    <row r="176" spans="2:20" ht="12" customHeight="1" x14ac:dyDescent="0.25">
      <c r="B176" s="150" t="s">
        <v>23</v>
      </c>
      <c r="C176" s="17"/>
      <c r="D176" s="61"/>
      <c r="E176" s="17"/>
      <c r="F176" s="17"/>
      <c r="G176" s="17" t="s">
        <v>24</v>
      </c>
      <c r="H176" s="17" t="s">
        <v>25</v>
      </c>
      <c r="I176" s="17" t="s">
        <v>26</v>
      </c>
      <c r="J176" s="62">
        <v>341</v>
      </c>
      <c r="K176" s="62" t="s">
        <v>27</v>
      </c>
      <c r="L176" s="63" t="s">
        <v>28</v>
      </c>
      <c r="M176" s="62" t="s">
        <v>29</v>
      </c>
      <c r="N176" s="64">
        <f>S175*0.5%</f>
        <v>49602.128461</v>
      </c>
      <c r="O176" s="65">
        <v>0.1115</v>
      </c>
      <c r="P176" s="60">
        <f>N176/(1-O176)</f>
        <v>55826.818751828927</v>
      </c>
      <c r="Q176" s="65">
        <v>6.1499999999999999E-2</v>
      </c>
      <c r="R176" s="66">
        <f>Q176*P176</f>
        <v>3433.3493532374791</v>
      </c>
      <c r="S176" s="193">
        <f>P176*(1-Q176)</f>
        <v>52393.469398591449</v>
      </c>
      <c r="T176" s="67" t="s">
        <v>77</v>
      </c>
    </row>
    <row r="177" spans="1:20" ht="12" customHeight="1" x14ac:dyDescent="0.25">
      <c r="B177" s="68" t="s">
        <v>23</v>
      </c>
      <c r="C177" s="69"/>
      <c r="D177" s="49"/>
      <c r="E177" s="69"/>
      <c r="F177" s="69"/>
      <c r="G177" s="69" t="s">
        <v>30</v>
      </c>
      <c r="H177" s="69" t="s">
        <v>25</v>
      </c>
      <c r="I177" s="69" t="s">
        <v>26</v>
      </c>
      <c r="J177" s="198">
        <v>341</v>
      </c>
      <c r="K177" s="198" t="s">
        <v>27</v>
      </c>
      <c r="L177" s="71" t="s">
        <v>28</v>
      </c>
      <c r="M177" s="198" t="s">
        <v>29</v>
      </c>
      <c r="N177" s="72">
        <f>S175*2%</f>
        <v>198408.513844</v>
      </c>
      <c r="O177" s="73">
        <v>0.1115</v>
      </c>
      <c r="P177" s="68">
        <f>(N177/(1-O177))-P179</f>
        <v>198506.21077681571</v>
      </c>
      <c r="Q177" s="73">
        <v>6.1499999999999999E-2</v>
      </c>
      <c r="R177" s="74">
        <f t="array" ref="R177">Q177*P177</f>
        <v>12208.131962774167</v>
      </c>
      <c r="S177" s="194">
        <f>P177*(1-Q177)</f>
        <v>186298.07881404154</v>
      </c>
      <c r="T177" s="152" t="s">
        <v>72</v>
      </c>
    </row>
    <row r="178" spans="1:20" ht="12" customHeight="1" x14ac:dyDescent="0.25">
      <c r="B178" s="150" t="s">
        <v>23</v>
      </c>
      <c r="C178" s="17"/>
      <c r="D178" s="61"/>
      <c r="E178" s="17"/>
      <c r="F178" s="17"/>
      <c r="G178" s="17" t="s">
        <v>83</v>
      </c>
      <c r="H178" s="17" t="s">
        <v>25</v>
      </c>
      <c r="I178" s="17" t="s">
        <v>26</v>
      </c>
      <c r="J178" s="62">
        <v>341</v>
      </c>
      <c r="K178" s="62" t="s">
        <v>27</v>
      </c>
      <c r="L178" s="63" t="s">
        <v>28</v>
      </c>
      <c r="M178" s="62" t="s">
        <v>29</v>
      </c>
      <c r="N178" s="64">
        <f>S175*0.9%</f>
        <v>89283.831229800009</v>
      </c>
      <c r="O178" s="65">
        <v>0.1115</v>
      </c>
      <c r="P178" s="60">
        <f>N178/(1-O178)</f>
        <v>100488.27375329209</v>
      </c>
      <c r="Q178" s="65">
        <v>6.1499999999999999E-2</v>
      </c>
      <c r="R178" s="66">
        <f>Q178*P178</f>
        <v>6180.0288358274629</v>
      </c>
      <c r="S178" s="193">
        <f>P178*(1-Q178)</f>
        <v>94308.244917464617</v>
      </c>
      <c r="T178" s="67" t="s">
        <v>78</v>
      </c>
    </row>
    <row r="179" spans="1:20" ht="12" customHeight="1" x14ac:dyDescent="0.25">
      <c r="B179" s="68" t="s">
        <v>23</v>
      </c>
      <c r="C179" s="69"/>
      <c r="D179" s="49"/>
      <c r="E179" s="69"/>
      <c r="F179" s="69"/>
      <c r="G179" s="69" t="s">
        <v>102</v>
      </c>
      <c r="H179" s="69" t="s">
        <v>103</v>
      </c>
      <c r="I179" s="69" t="s">
        <v>104</v>
      </c>
      <c r="J179" s="198">
        <v>77</v>
      </c>
      <c r="K179" s="198" t="s">
        <v>105</v>
      </c>
      <c r="L179" s="71" t="s">
        <v>106</v>
      </c>
      <c r="M179" s="198">
        <v>40760111</v>
      </c>
      <c r="N179" s="72"/>
      <c r="O179" s="73"/>
      <c r="P179" s="68">
        <f>S175*0.25%</f>
        <v>24801.0642305</v>
      </c>
      <c r="Q179" s="73">
        <v>6.1499999999999999E-2</v>
      </c>
      <c r="R179" s="74">
        <f>Q179*P179</f>
        <v>1525.2654501757499</v>
      </c>
      <c r="S179" s="194">
        <f>P179*(1-Q179)</f>
        <v>23275.79878032425</v>
      </c>
      <c r="T179" s="152" t="s">
        <v>107</v>
      </c>
    </row>
    <row r="180" spans="1:20" ht="12" customHeight="1" x14ac:dyDescent="0.2">
      <c r="G180" s="121" t="s">
        <v>51</v>
      </c>
      <c r="H180" s="121"/>
      <c r="I180" s="121"/>
      <c r="J180" s="266"/>
      <c r="K180" s="266"/>
      <c r="L180" s="266"/>
      <c r="M180" s="266"/>
      <c r="N180" s="122"/>
      <c r="O180" s="123"/>
      <c r="P180" s="122"/>
      <c r="Q180" s="123"/>
      <c r="R180" s="124"/>
      <c r="S180" s="195">
        <f>SUM(S181:S182)</f>
        <v>23346.775602014859</v>
      </c>
    </row>
    <row r="181" spans="1:20" ht="12" customHeight="1" x14ac:dyDescent="0.2">
      <c r="B181" s="198" t="s">
        <v>52</v>
      </c>
      <c r="C181" s="69"/>
      <c r="D181" s="125"/>
      <c r="E181" s="69"/>
      <c r="F181" s="69"/>
      <c r="G181" s="126" t="s">
        <v>53</v>
      </c>
      <c r="H181" s="69" t="s">
        <v>25</v>
      </c>
      <c r="I181" s="69" t="s">
        <v>26</v>
      </c>
      <c r="J181" s="267"/>
      <c r="K181" s="267"/>
      <c r="L181" s="267"/>
      <c r="M181" s="267"/>
      <c r="N181" s="68"/>
      <c r="O181" s="73"/>
      <c r="P181" s="127"/>
      <c r="Q181" s="73"/>
      <c r="R181" s="74"/>
      <c r="S181" s="194">
        <f>SUM(R176:R178)</f>
        <v>21821.510151839109</v>
      </c>
      <c r="T181" s="68"/>
    </row>
    <row r="182" spans="1:20" s="173" customFormat="1" ht="12" customHeight="1" x14ac:dyDescent="0.2">
      <c r="A182" s="171"/>
      <c r="B182" s="128" t="s">
        <v>52</v>
      </c>
      <c r="C182" s="129"/>
      <c r="D182" s="130"/>
      <c r="E182" s="129"/>
      <c r="F182" s="129"/>
      <c r="G182" s="131" t="s">
        <v>108</v>
      </c>
      <c r="H182" s="129" t="s">
        <v>103</v>
      </c>
      <c r="I182" s="129" t="s">
        <v>104</v>
      </c>
      <c r="J182" s="200"/>
      <c r="K182" s="200"/>
      <c r="L182" s="200"/>
      <c r="M182" s="200"/>
      <c r="N182" s="134"/>
      <c r="O182" s="135"/>
      <c r="P182" s="136"/>
      <c r="Q182" s="135"/>
      <c r="R182" s="137"/>
      <c r="S182" s="201">
        <f>SUM(R179)</f>
        <v>1525.2654501757499</v>
      </c>
      <c r="T182" s="134"/>
    </row>
    <row r="183" spans="1:20" ht="12" customHeight="1" x14ac:dyDescent="0.2">
      <c r="B183" s="198" t="s">
        <v>23</v>
      </c>
      <c r="C183" s="69"/>
      <c r="D183" s="125"/>
      <c r="E183" s="69"/>
      <c r="F183" s="69"/>
      <c r="G183" s="126" t="s">
        <v>75</v>
      </c>
      <c r="H183" s="69" t="s">
        <v>46</v>
      </c>
      <c r="I183" s="69" t="s">
        <v>47</v>
      </c>
      <c r="J183" s="267">
        <v>341</v>
      </c>
      <c r="K183" s="267" t="s">
        <v>27</v>
      </c>
      <c r="L183" s="267" t="s">
        <v>76</v>
      </c>
      <c r="M183" s="267" t="s">
        <v>81</v>
      </c>
      <c r="N183" s="68"/>
      <c r="O183" s="73"/>
      <c r="P183" s="127"/>
      <c r="Q183" s="73"/>
      <c r="R183" s="74"/>
      <c r="S183" s="194">
        <v>252104.73</v>
      </c>
      <c r="T183" s="68"/>
    </row>
    <row r="184" spans="1:20" s="173" customFormat="1" ht="12" customHeight="1" x14ac:dyDescent="0.2">
      <c r="A184" s="171"/>
      <c r="B184" s="128" t="s">
        <v>23</v>
      </c>
      <c r="C184" s="129"/>
      <c r="D184" s="130"/>
      <c r="E184" s="129"/>
      <c r="F184" s="129"/>
      <c r="G184" s="131" t="s">
        <v>92</v>
      </c>
      <c r="H184" s="129" t="s">
        <v>96</v>
      </c>
      <c r="I184" s="129" t="s">
        <v>97</v>
      </c>
      <c r="J184" s="200" t="s">
        <v>98</v>
      </c>
      <c r="K184" s="200" t="s">
        <v>93</v>
      </c>
      <c r="L184" s="200" t="s">
        <v>95</v>
      </c>
      <c r="M184" s="200" t="s">
        <v>94</v>
      </c>
      <c r="N184" s="134"/>
      <c r="O184" s="135"/>
      <c r="P184" s="136"/>
      <c r="Q184" s="135"/>
      <c r="R184" s="137"/>
      <c r="S184" s="201">
        <f>S175-SUM(S176:S180,S183)</f>
        <v>9288698.5946875624</v>
      </c>
      <c r="T184" s="134"/>
    </row>
    <row r="185" spans="1:20" ht="12" customHeight="1" x14ac:dyDescent="0.2">
      <c r="B185" s="141" t="s">
        <v>21</v>
      </c>
      <c r="C185" s="142"/>
      <c r="D185" s="143"/>
      <c r="E185" s="142"/>
      <c r="F185" s="142"/>
      <c r="G185" s="144"/>
      <c r="H185" s="144"/>
      <c r="I185" s="144"/>
      <c r="J185" s="143"/>
      <c r="K185" s="143"/>
      <c r="L185" s="145"/>
      <c r="M185" s="145"/>
      <c r="N185" s="143"/>
      <c r="O185" s="143"/>
      <c r="P185" s="143"/>
      <c r="Q185" s="143"/>
      <c r="R185" s="74"/>
      <c r="S185" s="197">
        <f>S175-SUM(S176:S180,S183:S184)</f>
        <v>0</v>
      </c>
      <c r="T185" s="68"/>
    </row>
    <row r="186" spans="1:20" ht="12" customHeight="1" x14ac:dyDescent="0.2">
      <c r="B186" s="155"/>
      <c r="C186" s="156"/>
      <c r="D186" s="157"/>
      <c r="E186" s="156"/>
      <c r="F186" s="156"/>
      <c r="G186" s="158"/>
      <c r="H186" s="158"/>
      <c r="I186" s="158"/>
      <c r="J186" s="157"/>
      <c r="K186" s="157"/>
      <c r="L186" s="159"/>
      <c r="M186" s="159"/>
      <c r="N186" s="157"/>
      <c r="O186" s="157"/>
      <c r="P186" s="157"/>
      <c r="Q186" s="157"/>
      <c r="R186" s="160"/>
      <c r="S186" s="161"/>
      <c r="T186" s="162"/>
    </row>
    <row r="187" spans="1:20" ht="15" x14ac:dyDescent="0.25">
      <c r="B187" s="47" t="s">
        <v>20</v>
      </c>
      <c r="C187" s="48">
        <v>314</v>
      </c>
      <c r="D187" s="49">
        <v>43899</v>
      </c>
      <c r="E187" s="50">
        <v>992.50945487000001</v>
      </c>
      <c r="F187" s="51">
        <v>6000</v>
      </c>
      <c r="G187" s="52" t="s">
        <v>20</v>
      </c>
      <c r="H187" s="53"/>
      <c r="I187" s="53"/>
      <c r="J187" s="54"/>
      <c r="K187" s="54"/>
      <c r="L187" s="55"/>
      <c r="M187" s="54"/>
      <c r="N187" s="47"/>
      <c r="O187" s="56"/>
      <c r="P187" s="47"/>
      <c r="Q187" s="56"/>
      <c r="R187" s="57"/>
      <c r="S187" s="192">
        <f>E187*F187</f>
        <v>5955056.7292200001</v>
      </c>
      <c r="T187" s="68"/>
    </row>
    <row r="188" spans="1:20" ht="12" customHeight="1" x14ac:dyDescent="0.25">
      <c r="B188" s="47" t="s">
        <v>20</v>
      </c>
      <c r="C188" s="48" t="s">
        <v>21</v>
      </c>
      <c r="D188" s="49"/>
      <c r="E188" s="50"/>
      <c r="F188" s="51"/>
      <c r="G188" s="52" t="s">
        <v>22</v>
      </c>
      <c r="H188" s="53"/>
      <c r="I188" s="53"/>
      <c r="J188" s="54"/>
      <c r="K188" s="54"/>
      <c r="L188" s="55"/>
      <c r="M188" s="54"/>
      <c r="N188" s="47"/>
      <c r="O188" s="56"/>
      <c r="P188" s="47"/>
      <c r="Q188" s="56"/>
      <c r="R188" s="57"/>
      <c r="S188" s="192">
        <f>SUM(S187:S187)</f>
        <v>5955056.7292200001</v>
      </c>
      <c r="T188" s="68"/>
    </row>
    <row r="189" spans="1:20" ht="12" customHeight="1" x14ac:dyDescent="0.25">
      <c r="B189" s="150" t="s">
        <v>23</v>
      </c>
      <c r="C189" s="17"/>
      <c r="D189" s="61"/>
      <c r="E189" s="17"/>
      <c r="F189" s="17"/>
      <c r="G189" s="17" t="s">
        <v>24</v>
      </c>
      <c r="H189" s="17" t="s">
        <v>25</v>
      </c>
      <c r="I189" s="17" t="s">
        <v>26</v>
      </c>
      <c r="J189" s="62">
        <v>341</v>
      </c>
      <c r="K189" s="62" t="s">
        <v>27</v>
      </c>
      <c r="L189" s="63" t="s">
        <v>28</v>
      </c>
      <c r="M189" s="62" t="s">
        <v>29</v>
      </c>
      <c r="N189" s="64">
        <f>S188*0.5%</f>
        <v>29775.283646100001</v>
      </c>
      <c r="O189" s="65">
        <v>0.1115</v>
      </c>
      <c r="P189" s="60">
        <f>N189/(1-O189)</f>
        <v>33511.855538660668</v>
      </c>
      <c r="Q189" s="65">
        <v>6.1499999999999999E-2</v>
      </c>
      <c r="R189" s="66">
        <f>Q189*P189</f>
        <v>2060.979115627631</v>
      </c>
      <c r="S189" s="193">
        <f>P189*(1-Q189)</f>
        <v>31450.876423033038</v>
      </c>
      <c r="T189" s="67" t="s">
        <v>77</v>
      </c>
    </row>
    <row r="190" spans="1:20" ht="12" customHeight="1" x14ac:dyDescent="0.25">
      <c r="B190" s="68" t="s">
        <v>23</v>
      </c>
      <c r="C190" s="69"/>
      <c r="D190" s="49"/>
      <c r="E190" s="69"/>
      <c r="F190" s="69"/>
      <c r="G190" s="69" t="s">
        <v>30</v>
      </c>
      <c r="H190" s="69" t="s">
        <v>25</v>
      </c>
      <c r="I190" s="69" t="s">
        <v>26</v>
      </c>
      <c r="J190" s="199">
        <v>341</v>
      </c>
      <c r="K190" s="199" t="s">
        <v>27</v>
      </c>
      <c r="L190" s="71" t="s">
        <v>28</v>
      </c>
      <c r="M190" s="199" t="s">
        <v>29</v>
      </c>
      <c r="N190" s="72">
        <f>S188*2%</f>
        <v>119101.1345844</v>
      </c>
      <c r="O190" s="73">
        <v>0.1115</v>
      </c>
      <c r="P190" s="68">
        <f>(N190/(1-O190))-P192</f>
        <v>119159.78033159267</v>
      </c>
      <c r="Q190" s="73">
        <v>6.1499999999999999E-2</v>
      </c>
      <c r="R190" s="74">
        <f t="array" ref="R190">Q190*P190</f>
        <v>7328.3264903929494</v>
      </c>
      <c r="S190" s="194">
        <f>P190*(1-Q190)</f>
        <v>111831.45384119972</v>
      </c>
      <c r="T190" s="152" t="s">
        <v>72</v>
      </c>
    </row>
    <row r="191" spans="1:20" ht="12" customHeight="1" x14ac:dyDescent="0.25">
      <c r="B191" s="150" t="s">
        <v>23</v>
      </c>
      <c r="C191" s="17"/>
      <c r="D191" s="61"/>
      <c r="E191" s="17"/>
      <c r="F191" s="17"/>
      <c r="G191" s="17" t="s">
        <v>83</v>
      </c>
      <c r="H191" s="17" t="s">
        <v>25</v>
      </c>
      <c r="I191" s="17" t="s">
        <v>26</v>
      </c>
      <c r="J191" s="62">
        <v>341</v>
      </c>
      <c r="K191" s="62" t="s">
        <v>27</v>
      </c>
      <c r="L191" s="63" t="s">
        <v>28</v>
      </c>
      <c r="M191" s="62" t="s">
        <v>29</v>
      </c>
      <c r="N191" s="64">
        <f>S188*0.9%</f>
        <v>53595.510562980009</v>
      </c>
      <c r="O191" s="65">
        <v>0.1115</v>
      </c>
      <c r="P191" s="60">
        <f>N191/(1-O191)</f>
        <v>60321.339969589208</v>
      </c>
      <c r="Q191" s="65">
        <v>6.1499999999999999E-2</v>
      </c>
      <c r="R191" s="66">
        <f>Q191*P191</f>
        <v>3709.7624081297363</v>
      </c>
      <c r="S191" s="193">
        <f>P191*(1-Q191)</f>
        <v>56611.577561459475</v>
      </c>
      <c r="T191" s="67" t="s">
        <v>78</v>
      </c>
    </row>
    <row r="192" spans="1:20" ht="12" customHeight="1" x14ac:dyDescent="0.25">
      <c r="B192" s="68" t="s">
        <v>23</v>
      </c>
      <c r="C192" s="69"/>
      <c r="D192" s="49"/>
      <c r="E192" s="69"/>
      <c r="F192" s="69"/>
      <c r="G192" s="69" t="s">
        <v>102</v>
      </c>
      <c r="H192" s="69" t="s">
        <v>103</v>
      </c>
      <c r="I192" s="69" t="s">
        <v>104</v>
      </c>
      <c r="J192" s="199">
        <v>77</v>
      </c>
      <c r="K192" s="199" t="s">
        <v>105</v>
      </c>
      <c r="L192" s="71" t="s">
        <v>106</v>
      </c>
      <c r="M192" s="199">
        <v>40760111</v>
      </c>
      <c r="N192" s="72"/>
      <c r="O192" s="73"/>
      <c r="P192" s="68">
        <f>S188*0.25%</f>
        <v>14887.64182305</v>
      </c>
      <c r="Q192" s="73">
        <v>6.1499999999999999E-2</v>
      </c>
      <c r="R192" s="74">
        <f>Q192*P192</f>
        <v>915.58997211757503</v>
      </c>
      <c r="S192" s="194">
        <f>P192*(1-Q192)</f>
        <v>13972.051850932425</v>
      </c>
      <c r="T192" s="152" t="s">
        <v>107</v>
      </c>
    </row>
    <row r="193" spans="2:20" ht="12" customHeight="1" x14ac:dyDescent="0.2">
      <c r="G193" s="121" t="s">
        <v>51</v>
      </c>
      <c r="H193" s="121"/>
      <c r="I193" s="121"/>
      <c r="J193" s="266"/>
      <c r="K193" s="266"/>
      <c r="L193" s="266"/>
      <c r="M193" s="266"/>
      <c r="N193" s="122"/>
      <c r="O193" s="123"/>
      <c r="P193" s="122"/>
      <c r="Q193" s="123"/>
      <c r="R193" s="124"/>
      <c r="S193" s="195">
        <f>SUM(S194:S195)</f>
        <v>14014.657986267892</v>
      </c>
    </row>
    <row r="194" spans="2:20" ht="12" customHeight="1" x14ac:dyDescent="0.2">
      <c r="B194" s="199" t="s">
        <v>52</v>
      </c>
      <c r="C194" s="69"/>
      <c r="D194" s="125"/>
      <c r="E194" s="69"/>
      <c r="F194" s="69"/>
      <c r="G194" s="126" t="s">
        <v>53</v>
      </c>
      <c r="H194" s="69" t="s">
        <v>25</v>
      </c>
      <c r="I194" s="69" t="s">
        <v>26</v>
      </c>
      <c r="J194" s="267"/>
      <c r="K194" s="267"/>
      <c r="L194" s="267"/>
      <c r="M194" s="267"/>
      <c r="N194" s="68"/>
      <c r="O194" s="73"/>
      <c r="P194" s="127"/>
      <c r="Q194" s="73"/>
      <c r="R194" s="74"/>
      <c r="S194" s="194">
        <f>SUM(R189:R191)</f>
        <v>13099.068014150316</v>
      </c>
      <c r="T194" s="68"/>
    </row>
    <row r="195" spans="2:20" ht="12" customHeight="1" x14ac:dyDescent="0.2">
      <c r="B195" s="128" t="s">
        <v>52</v>
      </c>
      <c r="C195" s="129"/>
      <c r="D195" s="130"/>
      <c r="E195" s="129"/>
      <c r="F195" s="129"/>
      <c r="G195" s="131" t="s">
        <v>108</v>
      </c>
      <c r="H195" s="129" t="s">
        <v>103</v>
      </c>
      <c r="I195" s="129" t="s">
        <v>104</v>
      </c>
      <c r="J195" s="200"/>
      <c r="K195" s="200"/>
      <c r="L195" s="200"/>
      <c r="M195" s="200"/>
      <c r="N195" s="134"/>
      <c r="O195" s="135"/>
      <c r="P195" s="136"/>
      <c r="Q195" s="135"/>
      <c r="R195" s="137"/>
      <c r="S195" s="201">
        <f>SUM(R192)</f>
        <v>915.58997211757503</v>
      </c>
      <c r="T195" s="134"/>
    </row>
    <row r="196" spans="2:20" ht="12" customHeight="1" x14ac:dyDescent="0.2">
      <c r="B196" s="199" t="s">
        <v>23</v>
      </c>
      <c r="C196" s="69"/>
      <c r="D196" s="125"/>
      <c r="E196" s="69"/>
      <c r="F196" s="69"/>
      <c r="G196" s="126" t="s">
        <v>110</v>
      </c>
      <c r="H196" s="69" t="s">
        <v>46</v>
      </c>
      <c r="I196" s="69" t="s">
        <v>47</v>
      </c>
      <c r="J196" s="267">
        <v>341</v>
      </c>
      <c r="K196" s="267" t="s">
        <v>27</v>
      </c>
      <c r="L196" s="267" t="s">
        <v>76</v>
      </c>
      <c r="M196" s="267" t="s">
        <v>81</v>
      </c>
      <c r="N196" s="68"/>
      <c r="O196" s="73"/>
      <c r="P196" s="127"/>
      <c r="Q196" s="73"/>
      <c r="R196" s="74"/>
      <c r="S196" s="194">
        <v>3244989.19</v>
      </c>
      <c r="T196" s="68"/>
    </row>
    <row r="197" spans="2:20" ht="12" customHeight="1" x14ac:dyDescent="0.2">
      <c r="B197" s="128" t="s">
        <v>23</v>
      </c>
      <c r="C197" s="129"/>
      <c r="D197" s="130"/>
      <c r="E197" s="129"/>
      <c r="F197" s="129"/>
      <c r="G197" s="131" t="s">
        <v>92</v>
      </c>
      <c r="H197" s="129" t="s">
        <v>96</v>
      </c>
      <c r="I197" s="129" t="s">
        <v>97</v>
      </c>
      <c r="J197" s="200" t="s">
        <v>98</v>
      </c>
      <c r="K197" s="200" t="s">
        <v>93</v>
      </c>
      <c r="L197" s="200" t="s">
        <v>95</v>
      </c>
      <c r="M197" s="200" t="s">
        <v>94</v>
      </c>
      <c r="N197" s="134"/>
      <c r="O197" s="135"/>
      <c r="P197" s="136"/>
      <c r="Q197" s="135"/>
      <c r="R197" s="137"/>
      <c r="S197" s="201">
        <f>S188-SUM(S189:S193,S196)</f>
        <v>2482186.9215571075</v>
      </c>
      <c r="T197" s="134"/>
    </row>
    <row r="198" spans="2:20" ht="12" customHeight="1" x14ac:dyDescent="0.2">
      <c r="B198" s="141" t="s">
        <v>21</v>
      </c>
      <c r="C198" s="142"/>
      <c r="D198" s="143"/>
      <c r="E198" s="142"/>
      <c r="F198" s="142"/>
      <c r="G198" s="144"/>
      <c r="H198" s="144"/>
      <c r="I198" s="144"/>
      <c r="J198" s="143"/>
      <c r="K198" s="143"/>
      <c r="L198" s="145"/>
      <c r="M198" s="145"/>
      <c r="N198" s="143"/>
      <c r="O198" s="143"/>
      <c r="P198" s="143"/>
      <c r="Q198" s="143"/>
      <c r="R198" s="74"/>
      <c r="S198" s="197">
        <f>S188-SUM(S189:S193,S196:S197)</f>
        <v>0</v>
      </c>
      <c r="T198" s="68"/>
    </row>
    <row r="199" spans="2:20" ht="12" customHeight="1" x14ac:dyDescent="0.2">
      <c r="B199" s="155"/>
      <c r="C199" s="156"/>
      <c r="D199" s="157"/>
      <c r="E199" s="156"/>
      <c r="F199" s="156"/>
      <c r="G199" s="158"/>
      <c r="H199" s="158"/>
      <c r="I199" s="158"/>
      <c r="J199" s="157"/>
      <c r="K199" s="157"/>
      <c r="L199" s="159"/>
      <c r="M199" s="159"/>
      <c r="N199" s="157"/>
      <c r="O199" s="157"/>
      <c r="P199" s="157"/>
      <c r="Q199" s="157"/>
      <c r="R199" s="160"/>
      <c r="S199" s="161"/>
      <c r="T199" s="162"/>
    </row>
    <row r="200" spans="2:20" ht="15" x14ac:dyDescent="0.25">
      <c r="B200" s="47" t="s">
        <v>20</v>
      </c>
      <c r="C200" s="48">
        <v>315</v>
      </c>
      <c r="D200" s="49">
        <v>43928</v>
      </c>
      <c r="E200" s="50">
        <v>971.99765465999997</v>
      </c>
      <c r="F200" s="51">
        <v>1840</v>
      </c>
      <c r="G200" s="52" t="s">
        <v>20</v>
      </c>
      <c r="H200" s="53"/>
      <c r="I200" s="53"/>
      <c r="J200" s="54"/>
      <c r="K200" s="54"/>
      <c r="L200" s="55"/>
      <c r="M200" s="54"/>
      <c r="N200" s="47"/>
      <c r="O200" s="56"/>
      <c r="P200" s="47"/>
      <c r="Q200" s="56"/>
      <c r="R200" s="57"/>
      <c r="S200" s="192">
        <f>E200*F200</f>
        <v>1788475.6845743998</v>
      </c>
      <c r="T200" s="68"/>
    </row>
    <row r="201" spans="2:20" ht="15" x14ac:dyDescent="0.25">
      <c r="B201" s="47" t="s">
        <v>20</v>
      </c>
      <c r="C201" s="48">
        <v>316</v>
      </c>
      <c r="D201" s="49">
        <v>43928</v>
      </c>
      <c r="E201" s="50">
        <v>980.58144665999998</v>
      </c>
      <c r="F201" s="51">
        <v>3737</v>
      </c>
      <c r="G201" s="52" t="s">
        <v>20</v>
      </c>
      <c r="H201" s="53"/>
      <c r="I201" s="53"/>
      <c r="J201" s="54"/>
      <c r="K201" s="54"/>
      <c r="L201" s="55"/>
      <c r="M201" s="54"/>
      <c r="N201" s="47"/>
      <c r="O201" s="56"/>
      <c r="P201" s="47"/>
      <c r="Q201" s="56"/>
      <c r="R201" s="57"/>
      <c r="S201" s="192">
        <f>E201*F201</f>
        <v>3664432.8661684198</v>
      </c>
      <c r="T201" s="68"/>
    </row>
    <row r="202" spans="2:20" ht="12" customHeight="1" x14ac:dyDescent="0.25">
      <c r="B202" s="47" t="s">
        <v>20</v>
      </c>
      <c r="C202" s="48" t="s">
        <v>21</v>
      </c>
      <c r="D202" s="49"/>
      <c r="E202" s="50"/>
      <c r="F202" s="51"/>
      <c r="G202" s="52" t="s">
        <v>22</v>
      </c>
      <c r="H202" s="53"/>
      <c r="I202" s="53"/>
      <c r="J202" s="54"/>
      <c r="K202" s="54"/>
      <c r="L202" s="55"/>
      <c r="M202" s="54"/>
      <c r="N202" s="47"/>
      <c r="O202" s="56"/>
      <c r="P202" s="47"/>
      <c r="Q202" s="56"/>
      <c r="R202" s="57"/>
      <c r="S202" s="192">
        <f>SUM(S200:S201)</f>
        <v>5452908.5507428199</v>
      </c>
      <c r="T202" s="68"/>
    </row>
    <row r="203" spans="2:20" ht="12" customHeight="1" x14ac:dyDescent="0.25">
      <c r="B203" s="150" t="s">
        <v>23</v>
      </c>
      <c r="C203" s="17"/>
      <c r="D203" s="61"/>
      <c r="E203" s="17"/>
      <c r="F203" s="17"/>
      <c r="G203" s="17" t="s">
        <v>24</v>
      </c>
      <c r="H203" s="17" t="s">
        <v>25</v>
      </c>
      <c r="I203" s="17" t="s">
        <v>26</v>
      </c>
      <c r="J203" s="62">
        <v>341</v>
      </c>
      <c r="K203" s="62" t="s">
        <v>27</v>
      </c>
      <c r="L203" s="63" t="s">
        <v>28</v>
      </c>
      <c r="M203" s="62" t="s">
        <v>29</v>
      </c>
      <c r="N203" s="64">
        <f>S202*0.5%</f>
        <v>27264.5427537141</v>
      </c>
      <c r="O203" s="65">
        <v>0.1115</v>
      </c>
      <c r="P203" s="60">
        <f>N203/(1-O203)</f>
        <v>30686.035738563987</v>
      </c>
      <c r="Q203" s="65">
        <v>6.1499999999999999E-2</v>
      </c>
      <c r="R203" s="66">
        <f>Q203*P203</f>
        <v>1887.1911979216852</v>
      </c>
      <c r="S203" s="193">
        <f>P203*(1-Q203)</f>
        <v>28798.844540642302</v>
      </c>
      <c r="T203" s="67" t="s">
        <v>77</v>
      </c>
    </row>
    <row r="204" spans="2:20" ht="12" customHeight="1" x14ac:dyDescent="0.25">
      <c r="B204" s="68" t="s">
        <v>23</v>
      </c>
      <c r="C204" s="69"/>
      <c r="D204" s="49"/>
      <c r="E204" s="69"/>
      <c r="F204" s="69"/>
      <c r="G204" s="69" t="s">
        <v>30</v>
      </c>
      <c r="H204" s="69" t="s">
        <v>25</v>
      </c>
      <c r="I204" s="69" t="s">
        <v>26</v>
      </c>
      <c r="J204" s="202">
        <v>341</v>
      </c>
      <c r="K204" s="202" t="s">
        <v>27</v>
      </c>
      <c r="L204" s="71" t="s">
        <v>28</v>
      </c>
      <c r="M204" s="202" t="s">
        <v>29</v>
      </c>
      <c r="N204" s="72">
        <f>S202*2%</f>
        <v>109058.1710148564</v>
      </c>
      <c r="O204" s="73">
        <v>0.1115</v>
      </c>
      <c r="P204" s="68">
        <f>(N204/(1-O204))-P206</f>
        <v>109111.8715773989</v>
      </c>
      <c r="Q204" s="73">
        <v>6.1499999999999999E-2</v>
      </c>
      <c r="R204" s="74">
        <f t="array" ref="R204">Q204*P204</f>
        <v>6710.3801020100318</v>
      </c>
      <c r="S204" s="194">
        <f>P204*(1-Q204)</f>
        <v>102401.49147538886</v>
      </c>
      <c r="T204" s="152" t="s">
        <v>72</v>
      </c>
    </row>
    <row r="205" spans="2:20" ht="12" customHeight="1" x14ac:dyDescent="0.25">
      <c r="B205" s="150" t="s">
        <v>23</v>
      </c>
      <c r="C205" s="17"/>
      <c r="D205" s="61"/>
      <c r="E205" s="17"/>
      <c r="F205" s="17"/>
      <c r="G205" s="17" t="s">
        <v>83</v>
      </c>
      <c r="H205" s="17" t="s">
        <v>25</v>
      </c>
      <c r="I205" s="17" t="s">
        <v>26</v>
      </c>
      <c r="J205" s="62">
        <v>341</v>
      </c>
      <c r="K205" s="62" t="s">
        <v>27</v>
      </c>
      <c r="L205" s="63" t="s">
        <v>28</v>
      </c>
      <c r="M205" s="62" t="s">
        <v>29</v>
      </c>
      <c r="N205" s="64">
        <f>S202*0.9%</f>
        <v>49076.176956685384</v>
      </c>
      <c r="O205" s="65">
        <v>0.1115</v>
      </c>
      <c r="P205" s="60">
        <f>N205/(1-O205)</f>
        <v>55234.864329415177</v>
      </c>
      <c r="Q205" s="65">
        <v>6.1499999999999999E-2</v>
      </c>
      <c r="R205" s="66">
        <f>Q205*P205</f>
        <v>3396.9441562590332</v>
      </c>
      <c r="S205" s="193">
        <f>P205*(1-Q205)</f>
        <v>51837.920173156141</v>
      </c>
      <c r="T205" s="67" t="s">
        <v>78</v>
      </c>
    </row>
    <row r="206" spans="2:20" ht="12" customHeight="1" x14ac:dyDescent="0.25">
      <c r="B206" s="68" t="s">
        <v>23</v>
      </c>
      <c r="C206" s="69"/>
      <c r="D206" s="49"/>
      <c r="E206" s="69"/>
      <c r="F206" s="69"/>
      <c r="G206" s="69" t="s">
        <v>102</v>
      </c>
      <c r="H206" s="69" t="s">
        <v>103</v>
      </c>
      <c r="I206" s="69" t="s">
        <v>104</v>
      </c>
      <c r="J206" s="202">
        <v>77</v>
      </c>
      <c r="K206" s="202" t="s">
        <v>105</v>
      </c>
      <c r="L206" s="71" t="s">
        <v>106</v>
      </c>
      <c r="M206" s="202">
        <v>40760111</v>
      </c>
      <c r="N206" s="72"/>
      <c r="O206" s="73"/>
      <c r="P206" s="68">
        <f>S202*0.25%</f>
        <v>13632.27137685705</v>
      </c>
      <c r="Q206" s="73">
        <v>6.1499999999999999E-2</v>
      </c>
      <c r="R206" s="74">
        <f>Q206*P206</f>
        <v>838.3846896767086</v>
      </c>
      <c r="S206" s="194">
        <f>P206*(1-Q206)</f>
        <v>12793.886687180342</v>
      </c>
      <c r="T206" s="152" t="s">
        <v>107</v>
      </c>
    </row>
    <row r="207" spans="2:20" ht="12" customHeight="1" x14ac:dyDescent="0.2">
      <c r="G207" s="121" t="s">
        <v>51</v>
      </c>
      <c r="H207" s="121"/>
      <c r="I207" s="121"/>
      <c r="J207" s="266"/>
      <c r="K207" s="266"/>
      <c r="L207" s="266"/>
      <c r="M207" s="266"/>
      <c r="N207" s="122"/>
      <c r="O207" s="123"/>
      <c r="P207" s="122"/>
      <c r="Q207" s="123"/>
      <c r="R207" s="124"/>
      <c r="S207" s="195">
        <f>SUM(S208:S209)</f>
        <v>12832.900145867457</v>
      </c>
    </row>
    <row r="208" spans="2:20" ht="12" customHeight="1" x14ac:dyDescent="0.2">
      <c r="B208" s="202" t="s">
        <v>52</v>
      </c>
      <c r="C208" s="69"/>
      <c r="D208" s="125"/>
      <c r="E208" s="69"/>
      <c r="F208" s="69"/>
      <c r="G208" s="126" t="s">
        <v>53</v>
      </c>
      <c r="H208" s="69" t="s">
        <v>25</v>
      </c>
      <c r="I208" s="69" t="s">
        <v>26</v>
      </c>
      <c r="J208" s="267"/>
      <c r="K208" s="267"/>
      <c r="L208" s="267"/>
      <c r="M208" s="267"/>
      <c r="N208" s="68"/>
      <c r="O208" s="73"/>
      <c r="P208" s="127"/>
      <c r="Q208" s="73"/>
      <c r="R208" s="74"/>
      <c r="S208" s="194">
        <f>SUM(R203:R205)</f>
        <v>11994.515456190749</v>
      </c>
      <c r="T208" s="68"/>
    </row>
    <row r="209" spans="2:20" ht="12" customHeight="1" x14ac:dyDescent="0.2">
      <c r="B209" s="128" t="s">
        <v>52</v>
      </c>
      <c r="C209" s="129"/>
      <c r="D209" s="130"/>
      <c r="E209" s="129"/>
      <c r="F209" s="129"/>
      <c r="G209" s="131" t="s">
        <v>108</v>
      </c>
      <c r="H209" s="129" t="s">
        <v>103</v>
      </c>
      <c r="I209" s="129" t="s">
        <v>104</v>
      </c>
      <c r="J209" s="200"/>
      <c r="K209" s="200"/>
      <c r="L209" s="200"/>
      <c r="M209" s="200"/>
      <c r="N209" s="134"/>
      <c r="O209" s="135"/>
      <c r="P209" s="136"/>
      <c r="Q209" s="135"/>
      <c r="R209" s="137"/>
      <c r="S209" s="201">
        <f>SUM(R206)</f>
        <v>838.3846896767086</v>
      </c>
      <c r="T209" s="134"/>
    </row>
    <row r="210" spans="2:20" ht="12" customHeight="1" x14ac:dyDescent="0.2">
      <c r="B210" s="202" t="s">
        <v>23</v>
      </c>
      <c r="C210" s="69"/>
      <c r="D210" s="125"/>
      <c r="E210" s="69"/>
      <c r="F210" s="69"/>
      <c r="G210" s="126" t="s">
        <v>75</v>
      </c>
      <c r="H210" s="69" t="s">
        <v>46</v>
      </c>
      <c r="I210" s="69" t="s">
        <v>47</v>
      </c>
      <c r="J210" s="267">
        <v>341</v>
      </c>
      <c r="K210" s="267" t="s">
        <v>27</v>
      </c>
      <c r="L210" s="267" t="s">
        <v>76</v>
      </c>
      <c r="M210" s="267" t="s">
        <v>81</v>
      </c>
      <c r="N210" s="68"/>
      <c r="O210" s="73"/>
      <c r="P210" s="127"/>
      <c r="Q210" s="73"/>
      <c r="R210" s="74"/>
      <c r="S210" s="204">
        <f>92481.57+197550.54</f>
        <v>290032.11</v>
      </c>
      <c r="T210" s="68"/>
    </row>
    <row r="211" spans="2:20" ht="12" customHeight="1" x14ac:dyDescent="0.2">
      <c r="B211" s="128" t="s">
        <v>23</v>
      </c>
      <c r="C211" s="129"/>
      <c r="D211" s="130"/>
      <c r="E211" s="129"/>
      <c r="F211" s="129"/>
      <c r="G211" s="131" t="s">
        <v>110</v>
      </c>
      <c r="H211" s="129" t="s">
        <v>46</v>
      </c>
      <c r="I211" s="129" t="s">
        <v>47</v>
      </c>
      <c r="J211" s="200">
        <v>341</v>
      </c>
      <c r="K211" s="200" t="s">
        <v>27</v>
      </c>
      <c r="L211" s="200" t="s">
        <v>76</v>
      </c>
      <c r="M211" s="200" t="s">
        <v>81</v>
      </c>
      <c r="N211" s="134"/>
      <c r="O211" s="135"/>
      <c r="P211" s="136"/>
      <c r="Q211" s="135"/>
      <c r="R211" s="137"/>
      <c r="S211" s="201">
        <f>S202-SUM(S203:S207,S210)</f>
        <v>4954211.3977205846</v>
      </c>
      <c r="T211" s="134"/>
    </row>
    <row r="212" spans="2:20" ht="12" customHeight="1" x14ac:dyDescent="0.2">
      <c r="B212" s="141" t="s">
        <v>21</v>
      </c>
      <c r="C212" s="142"/>
      <c r="D212" s="143"/>
      <c r="E212" s="142"/>
      <c r="F212" s="142"/>
      <c r="G212" s="144"/>
      <c r="H212" s="144"/>
      <c r="I212" s="144"/>
      <c r="J212" s="143"/>
      <c r="K212" s="143"/>
      <c r="L212" s="145"/>
      <c r="M212" s="145"/>
      <c r="N212" s="143"/>
      <c r="O212" s="143"/>
      <c r="P212" s="143"/>
      <c r="Q212" s="143"/>
      <c r="R212" s="74"/>
      <c r="S212" s="197">
        <f>S202-SUM(S203:S207,S210:S211)</f>
        <v>0</v>
      </c>
      <c r="T212" s="68"/>
    </row>
    <row r="213" spans="2:20" ht="12" customHeight="1" x14ac:dyDescent="0.2">
      <c r="B213" s="155"/>
      <c r="C213" s="156"/>
      <c r="D213" s="157"/>
      <c r="E213" s="156"/>
      <c r="F213" s="156"/>
      <c r="G213" s="158"/>
      <c r="H213" s="158"/>
      <c r="I213" s="158"/>
      <c r="J213" s="157"/>
      <c r="K213" s="157"/>
      <c r="L213" s="159"/>
      <c r="M213" s="159"/>
      <c r="N213" s="157"/>
      <c r="O213" s="157"/>
      <c r="P213" s="157"/>
      <c r="Q213" s="157"/>
      <c r="R213" s="160"/>
      <c r="S213" s="161"/>
      <c r="T213" s="162"/>
    </row>
    <row r="214" spans="2:20" ht="15" x14ac:dyDescent="0.25">
      <c r="B214" s="47" t="s">
        <v>20</v>
      </c>
      <c r="C214" s="48">
        <v>315</v>
      </c>
      <c r="D214" s="49">
        <v>43966</v>
      </c>
      <c r="E214" s="50">
        <v>953.54007099</v>
      </c>
      <c r="F214" s="51">
        <v>1120</v>
      </c>
      <c r="G214" s="52" t="s">
        <v>20</v>
      </c>
      <c r="H214" s="53"/>
      <c r="I214" s="53"/>
      <c r="J214" s="54"/>
      <c r="K214" s="54"/>
      <c r="L214" s="55"/>
      <c r="M214" s="54"/>
      <c r="N214" s="47"/>
      <c r="O214" s="56"/>
      <c r="P214" s="47"/>
      <c r="Q214" s="56"/>
      <c r="R214" s="57"/>
      <c r="S214" s="192">
        <f>E214*F214</f>
        <v>1067964.8795088001</v>
      </c>
      <c r="T214" s="68"/>
    </row>
    <row r="215" spans="2:20" ht="15" x14ac:dyDescent="0.25">
      <c r="B215" s="47" t="s">
        <v>20</v>
      </c>
      <c r="C215" s="48">
        <v>316</v>
      </c>
      <c r="D215" s="49">
        <v>43966</v>
      </c>
      <c r="E215" s="50">
        <v>966.00360921000004</v>
      </c>
      <c r="F215" s="51">
        <v>2275</v>
      </c>
      <c r="G215" s="52" t="s">
        <v>20</v>
      </c>
      <c r="H215" s="53"/>
      <c r="I215" s="53"/>
      <c r="J215" s="54"/>
      <c r="K215" s="54"/>
      <c r="L215" s="55"/>
      <c r="M215" s="54"/>
      <c r="N215" s="47"/>
      <c r="O215" s="56"/>
      <c r="P215" s="47"/>
      <c r="Q215" s="56"/>
      <c r="R215" s="57"/>
      <c r="S215" s="192">
        <f>E215*F215</f>
        <v>2197658.2109527499</v>
      </c>
      <c r="T215" s="68"/>
    </row>
    <row r="216" spans="2:20" ht="12" customHeight="1" x14ac:dyDescent="0.25">
      <c r="B216" s="47" t="s">
        <v>20</v>
      </c>
      <c r="C216" s="48" t="s">
        <v>21</v>
      </c>
      <c r="D216" s="49"/>
      <c r="E216" s="50"/>
      <c r="F216" s="51"/>
      <c r="G216" s="52" t="s">
        <v>22</v>
      </c>
      <c r="H216" s="53"/>
      <c r="I216" s="53"/>
      <c r="J216" s="54"/>
      <c r="K216" s="54"/>
      <c r="L216" s="55"/>
      <c r="M216" s="54"/>
      <c r="N216" s="47"/>
      <c r="O216" s="56"/>
      <c r="P216" s="47"/>
      <c r="Q216" s="56"/>
      <c r="R216" s="57"/>
      <c r="S216" s="192">
        <f>SUM(S214:S215)</f>
        <v>3265623.0904615503</v>
      </c>
      <c r="T216" s="68"/>
    </row>
    <row r="217" spans="2:20" ht="12" customHeight="1" x14ac:dyDescent="0.25">
      <c r="B217" s="150" t="s">
        <v>23</v>
      </c>
      <c r="C217" s="17"/>
      <c r="D217" s="61"/>
      <c r="E217" s="17"/>
      <c r="F217" s="17"/>
      <c r="G217" s="17" t="s">
        <v>24</v>
      </c>
      <c r="H217" s="17" t="s">
        <v>25</v>
      </c>
      <c r="I217" s="17" t="s">
        <v>26</v>
      </c>
      <c r="J217" s="62">
        <v>341</v>
      </c>
      <c r="K217" s="62" t="s">
        <v>27</v>
      </c>
      <c r="L217" s="63" t="s">
        <v>28</v>
      </c>
      <c r="M217" s="62" t="s">
        <v>29</v>
      </c>
      <c r="N217" s="64">
        <f>S216*0.5%</f>
        <v>16328.115452307751</v>
      </c>
      <c r="O217" s="65">
        <v>0.1115</v>
      </c>
      <c r="P217" s="60">
        <f>N217/(1-O217)</f>
        <v>18377.169895675579</v>
      </c>
      <c r="Q217" s="65">
        <v>6.1499999999999999E-2</v>
      </c>
      <c r="R217" s="66">
        <f>Q217*P217</f>
        <v>1130.195948584048</v>
      </c>
      <c r="S217" s="193">
        <f>P217*(1-Q217)</f>
        <v>17246.97394709153</v>
      </c>
      <c r="T217" s="67" t="s">
        <v>77</v>
      </c>
    </row>
    <row r="218" spans="2:20" ht="12" customHeight="1" x14ac:dyDescent="0.25">
      <c r="B218" s="68" t="s">
        <v>23</v>
      </c>
      <c r="C218" s="69"/>
      <c r="D218" s="49"/>
      <c r="E218" s="69"/>
      <c r="F218" s="69"/>
      <c r="G218" s="69" t="s">
        <v>30</v>
      </c>
      <c r="H218" s="69" t="s">
        <v>25</v>
      </c>
      <c r="I218" s="69" t="s">
        <v>26</v>
      </c>
      <c r="J218" s="203">
        <v>341</v>
      </c>
      <c r="K218" s="203" t="s">
        <v>27</v>
      </c>
      <c r="L218" s="71" t="s">
        <v>28</v>
      </c>
      <c r="M218" s="203" t="s">
        <v>29</v>
      </c>
      <c r="N218" s="72">
        <f>S216*2%</f>
        <v>65312.461809231005</v>
      </c>
      <c r="O218" s="73">
        <v>0.1115</v>
      </c>
      <c r="P218" s="68">
        <f>(N218/(1-O218))-P220</f>
        <v>65344.621856548438</v>
      </c>
      <c r="Q218" s="73">
        <v>6.1499999999999999E-2</v>
      </c>
      <c r="R218" s="74">
        <f t="array" ref="R218">Q218*P218</f>
        <v>4018.6942441777287</v>
      </c>
      <c r="S218" s="194">
        <f>P218*(1-Q218)</f>
        <v>61325.92761237071</v>
      </c>
      <c r="T218" s="152" t="s">
        <v>72</v>
      </c>
    </row>
    <row r="219" spans="2:20" ht="12" customHeight="1" x14ac:dyDescent="0.25">
      <c r="B219" s="150" t="s">
        <v>23</v>
      </c>
      <c r="C219" s="17"/>
      <c r="D219" s="61"/>
      <c r="E219" s="17"/>
      <c r="F219" s="17"/>
      <c r="G219" s="17" t="s">
        <v>83</v>
      </c>
      <c r="H219" s="17" t="s">
        <v>25</v>
      </c>
      <c r="I219" s="17" t="s">
        <v>26</v>
      </c>
      <c r="J219" s="62">
        <v>341</v>
      </c>
      <c r="K219" s="62" t="s">
        <v>27</v>
      </c>
      <c r="L219" s="63" t="s">
        <v>28</v>
      </c>
      <c r="M219" s="62" t="s">
        <v>29</v>
      </c>
      <c r="N219" s="64">
        <f>S216*0.9%</f>
        <v>29390.607814153955</v>
      </c>
      <c r="O219" s="65">
        <v>0.1115</v>
      </c>
      <c r="P219" s="60">
        <f>N219/(1-O219)</f>
        <v>33078.905812216042</v>
      </c>
      <c r="Q219" s="65">
        <v>6.1499999999999999E-2</v>
      </c>
      <c r="R219" s="66">
        <f>Q219*P219</f>
        <v>2034.3527074512865</v>
      </c>
      <c r="S219" s="193">
        <f>P219*(1-Q219)</f>
        <v>31044.553104764756</v>
      </c>
      <c r="T219" s="67" t="s">
        <v>78</v>
      </c>
    </row>
    <row r="220" spans="2:20" ht="12" customHeight="1" x14ac:dyDescent="0.25">
      <c r="B220" s="68" t="s">
        <v>23</v>
      </c>
      <c r="C220" s="69"/>
      <c r="D220" s="49"/>
      <c r="E220" s="69"/>
      <c r="F220" s="69"/>
      <c r="G220" s="69" t="s">
        <v>102</v>
      </c>
      <c r="H220" s="69" t="s">
        <v>103</v>
      </c>
      <c r="I220" s="69" t="s">
        <v>104</v>
      </c>
      <c r="J220" s="203">
        <v>77</v>
      </c>
      <c r="K220" s="203" t="s">
        <v>105</v>
      </c>
      <c r="L220" s="71" t="s">
        <v>106</v>
      </c>
      <c r="M220" s="203">
        <v>40760111</v>
      </c>
      <c r="N220" s="72"/>
      <c r="O220" s="73"/>
      <c r="P220" s="68">
        <f>S216*0.25%</f>
        <v>8164.0577261538756</v>
      </c>
      <c r="Q220" s="73">
        <v>6.1499999999999999E-2</v>
      </c>
      <c r="R220" s="74">
        <f>Q220*P220</f>
        <v>502.08955015846334</v>
      </c>
      <c r="S220" s="194">
        <f>P220*(1-Q220)</f>
        <v>7661.9681759954119</v>
      </c>
      <c r="T220" s="152" t="s">
        <v>107</v>
      </c>
    </row>
    <row r="221" spans="2:20" ht="12" customHeight="1" x14ac:dyDescent="0.2">
      <c r="G221" s="121" t="s">
        <v>51</v>
      </c>
      <c r="H221" s="121"/>
      <c r="I221" s="121"/>
      <c r="J221" s="266"/>
      <c r="K221" s="266"/>
      <c r="L221" s="266"/>
      <c r="M221" s="266"/>
      <c r="N221" s="122"/>
      <c r="O221" s="123"/>
      <c r="P221" s="122"/>
      <c r="Q221" s="123"/>
      <c r="R221" s="124"/>
      <c r="S221" s="195">
        <f>SUM(S222:S223)</f>
        <v>7685.3324503715276</v>
      </c>
    </row>
    <row r="222" spans="2:20" ht="12" customHeight="1" x14ac:dyDescent="0.2">
      <c r="B222" s="203" t="s">
        <v>52</v>
      </c>
      <c r="C222" s="69"/>
      <c r="D222" s="125"/>
      <c r="E222" s="69"/>
      <c r="F222" s="69"/>
      <c r="G222" s="126" t="s">
        <v>53</v>
      </c>
      <c r="H222" s="69" t="s">
        <v>25</v>
      </c>
      <c r="I222" s="69" t="s">
        <v>26</v>
      </c>
      <c r="J222" s="267"/>
      <c r="K222" s="267"/>
      <c r="L222" s="267"/>
      <c r="M222" s="267"/>
      <c r="N222" s="68"/>
      <c r="O222" s="73"/>
      <c r="P222" s="127"/>
      <c r="Q222" s="73"/>
      <c r="R222" s="74"/>
      <c r="S222" s="194">
        <f>SUM(R217:R219)</f>
        <v>7183.2429002130639</v>
      </c>
      <c r="T222" s="68"/>
    </row>
    <row r="223" spans="2:20" ht="12" customHeight="1" x14ac:dyDescent="0.2">
      <c r="B223" s="128" t="s">
        <v>52</v>
      </c>
      <c r="C223" s="129"/>
      <c r="D223" s="130"/>
      <c r="E223" s="129"/>
      <c r="F223" s="129"/>
      <c r="G223" s="131" t="s">
        <v>108</v>
      </c>
      <c r="H223" s="129" t="s">
        <v>103</v>
      </c>
      <c r="I223" s="129" t="s">
        <v>104</v>
      </c>
      <c r="J223" s="200"/>
      <c r="K223" s="200"/>
      <c r="L223" s="200"/>
      <c r="M223" s="200"/>
      <c r="N223" s="134"/>
      <c r="O223" s="135"/>
      <c r="P223" s="136"/>
      <c r="Q223" s="135"/>
      <c r="R223" s="137"/>
      <c r="S223" s="201">
        <f>SUM(R220)</f>
        <v>502.08955015846334</v>
      </c>
      <c r="T223" s="134"/>
    </row>
    <row r="224" spans="2:20" ht="12" customHeight="1" x14ac:dyDescent="0.2">
      <c r="B224" s="203" t="s">
        <v>23</v>
      </c>
      <c r="C224" s="69"/>
      <c r="D224" s="125"/>
      <c r="E224" s="69"/>
      <c r="F224" s="69"/>
      <c r="G224" s="126" t="s">
        <v>75</v>
      </c>
      <c r="H224" s="69" t="s">
        <v>46</v>
      </c>
      <c r="I224" s="69" t="s">
        <v>47</v>
      </c>
      <c r="J224" s="267">
        <v>341</v>
      </c>
      <c r="K224" s="267" t="s">
        <v>27</v>
      </c>
      <c r="L224" s="267" t="s">
        <v>76</v>
      </c>
      <c r="M224" s="267" t="s">
        <v>81</v>
      </c>
      <c r="N224" s="68"/>
      <c r="O224" s="73"/>
      <c r="P224" s="127"/>
      <c r="Q224" s="73"/>
      <c r="R224" s="74"/>
      <c r="S224" s="204">
        <f>64415.67+132939.73</f>
        <v>197355.40000000002</v>
      </c>
      <c r="T224" s="68"/>
    </row>
    <row r="225" spans="2:22" ht="12" customHeight="1" x14ac:dyDescent="0.2">
      <c r="B225" s="128" t="s">
        <v>23</v>
      </c>
      <c r="C225" s="129"/>
      <c r="D225" s="130"/>
      <c r="E225" s="129"/>
      <c r="F225" s="129"/>
      <c r="G225" s="131" t="s">
        <v>110</v>
      </c>
      <c r="H225" s="129" t="s">
        <v>46</v>
      </c>
      <c r="I225" s="129" t="s">
        <v>47</v>
      </c>
      <c r="J225" s="200">
        <v>341</v>
      </c>
      <c r="K225" s="200" t="s">
        <v>27</v>
      </c>
      <c r="L225" s="200" t="s">
        <v>76</v>
      </c>
      <c r="M225" s="200" t="s">
        <v>81</v>
      </c>
      <c r="N225" s="134"/>
      <c r="O225" s="135"/>
      <c r="P225" s="136"/>
      <c r="Q225" s="135"/>
      <c r="R225" s="137"/>
      <c r="S225" s="201">
        <f>S216-SUM(S217:S221,S224)</f>
        <v>2943302.9351709564</v>
      </c>
      <c r="T225" s="134"/>
    </row>
    <row r="226" spans="2:22" ht="12" customHeight="1" x14ac:dyDescent="0.2">
      <c r="B226" s="141" t="s">
        <v>21</v>
      </c>
      <c r="C226" s="142"/>
      <c r="D226" s="143"/>
      <c r="E226" s="142"/>
      <c r="F226" s="142"/>
      <c r="G226" s="144"/>
      <c r="H226" s="144"/>
      <c r="I226" s="144"/>
      <c r="J226" s="143"/>
      <c r="K226" s="143"/>
      <c r="L226" s="145"/>
      <c r="M226" s="145"/>
      <c r="N226" s="143"/>
      <c r="O226" s="143"/>
      <c r="P226" s="143"/>
      <c r="Q226" s="143"/>
      <c r="R226" s="74"/>
      <c r="S226" s="197">
        <f>S216-SUM(S217:S221,S224:S225)</f>
        <v>0</v>
      </c>
      <c r="T226" s="68"/>
    </row>
    <row r="227" spans="2:22" ht="12" customHeight="1" x14ac:dyDescent="0.2">
      <c r="B227" s="155"/>
      <c r="C227" s="156"/>
      <c r="D227" s="157"/>
      <c r="E227" s="156"/>
      <c r="F227" s="156"/>
      <c r="G227" s="158"/>
      <c r="H227" s="158"/>
      <c r="I227" s="158"/>
      <c r="J227" s="157"/>
      <c r="K227" s="157"/>
      <c r="L227" s="159"/>
      <c r="M227" s="159"/>
      <c r="N227" s="157"/>
      <c r="O227" s="157"/>
      <c r="P227" s="157"/>
      <c r="Q227" s="157"/>
      <c r="R227" s="160"/>
      <c r="S227" s="161"/>
      <c r="T227" s="162"/>
    </row>
    <row r="228" spans="2:22" ht="15" x14ac:dyDescent="0.25">
      <c r="B228" s="47" t="s">
        <v>20</v>
      </c>
      <c r="C228" s="48">
        <v>315</v>
      </c>
      <c r="D228" s="49">
        <v>43983</v>
      </c>
      <c r="E228" s="50">
        <v>928.07831870999996</v>
      </c>
      <c r="F228" s="51">
        <v>1360</v>
      </c>
      <c r="G228" s="52" t="s">
        <v>20</v>
      </c>
      <c r="H228" s="53"/>
      <c r="I228" s="53"/>
      <c r="J228" s="54"/>
      <c r="K228" s="54"/>
      <c r="L228" s="55"/>
      <c r="M228" s="54"/>
      <c r="N228" s="47"/>
      <c r="O228" s="56"/>
      <c r="P228" s="47"/>
      <c r="Q228" s="56"/>
      <c r="R228" s="57"/>
      <c r="S228" s="192">
        <f>E228*F228</f>
        <v>1262186.5134455999</v>
      </c>
      <c r="T228" s="68"/>
    </row>
    <row r="229" spans="2:22" ht="15" x14ac:dyDescent="0.25">
      <c r="B229" s="47" t="s">
        <v>20</v>
      </c>
      <c r="C229" s="48">
        <v>316</v>
      </c>
      <c r="D229" s="49">
        <v>43983</v>
      </c>
      <c r="E229" s="50">
        <v>941.46638677999999</v>
      </c>
      <c r="F229" s="51">
        <v>113</v>
      </c>
      <c r="G229" s="52" t="s">
        <v>20</v>
      </c>
      <c r="H229" s="53"/>
      <c r="I229" s="53"/>
      <c r="J229" s="54"/>
      <c r="K229" s="54"/>
      <c r="L229" s="55"/>
      <c r="M229" s="54"/>
      <c r="N229" s="47"/>
      <c r="O229" s="56"/>
      <c r="P229" s="47"/>
      <c r="Q229" s="56"/>
      <c r="R229" s="57"/>
      <c r="S229" s="192">
        <f t="shared" ref="S229:S230" si="29">E229*F229</f>
        <v>106385.70170614</v>
      </c>
      <c r="T229" s="68"/>
    </row>
    <row r="230" spans="2:22" ht="15" x14ac:dyDescent="0.25">
      <c r="B230" s="47" t="s">
        <v>20</v>
      </c>
      <c r="C230" s="48">
        <v>319</v>
      </c>
      <c r="D230" s="49">
        <v>43983</v>
      </c>
      <c r="E230" s="50">
        <v>1000</v>
      </c>
      <c r="F230" s="51">
        <v>2649</v>
      </c>
      <c r="G230" s="52" t="s">
        <v>20</v>
      </c>
      <c r="H230" s="53"/>
      <c r="I230" s="53"/>
      <c r="J230" s="54"/>
      <c r="K230" s="54"/>
      <c r="L230" s="55"/>
      <c r="M230" s="54"/>
      <c r="N230" s="47"/>
      <c r="O230" s="56"/>
      <c r="P230" s="47"/>
      <c r="Q230" s="56"/>
      <c r="R230" s="57"/>
      <c r="S230" s="192">
        <f t="shared" si="29"/>
        <v>2649000</v>
      </c>
      <c r="T230" s="68"/>
    </row>
    <row r="231" spans="2:22" ht="12" customHeight="1" x14ac:dyDescent="0.25">
      <c r="B231" s="47" t="s">
        <v>20</v>
      </c>
      <c r="C231" s="48" t="s">
        <v>21</v>
      </c>
      <c r="D231" s="49"/>
      <c r="E231" s="50"/>
      <c r="F231" s="51"/>
      <c r="G231" s="52" t="s">
        <v>22</v>
      </c>
      <c r="H231" s="53"/>
      <c r="I231" s="53"/>
      <c r="J231" s="54"/>
      <c r="K231" s="54"/>
      <c r="L231" s="55"/>
      <c r="M231" s="54"/>
      <c r="N231" s="47"/>
      <c r="O231" s="56"/>
      <c r="P231" s="47"/>
      <c r="Q231" s="56"/>
      <c r="R231" s="57"/>
      <c r="S231" s="192">
        <f>SUM(S228:S230)</f>
        <v>4017572.2151517402</v>
      </c>
      <c r="T231" s="68"/>
    </row>
    <row r="232" spans="2:22" ht="12" customHeight="1" x14ac:dyDescent="0.25">
      <c r="B232" s="150" t="s">
        <v>23</v>
      </c>
      <c r="C232" s="17"/>
      <c r="D232" s="61"/>
      <c r="E232" s="17"/>
      <c r="F232" s="17"/>
      <c r="G232" s="17" t="s">
        <v>24</v>
      </c>
      <c r="H232" s="17" t="s">
        <v>25</v>
      </c>
      <c r="I232" s="17" t="s">
        <v>26</v>
      </c>
      <c r="J232" s="62">
        <v>341</v>
      </c>
      <c r="K232" s="62" t="s">
        <v>27</v>
      </c>
      <c r="L232" s="63" t="s">
        <v>28</v>
      </c>
      <c r="M232" s="62" t="s">
        <v>29</v>
      </c>
      <c r="N232" s="64">
        <f>S231*0.5%</f>
        <v>20087.861075758701</v>
      </c>
      <c r="O232" s="65">
        <v>0.1115</v>
      </c>
      <c r="P232" s="60">
        <f>N232/(1-O232)</f>
        <v>22608.735031804954</v>
      </c>
      <c r="Q232" s="65">
        <v>6.1499999999999999E-2</v>
      </c>
      <c r="R232" s="66">
        <f>Q232*P232</f>
        <v>1390.4372044560046</v>
      </c>
      <c r="S232" s="193">
        <f>P232*(1-Q232)</f>
        <v>21218.29782734895</v>
      </c>
      <c r="T232" s="67" t="s">
        <v>77</v>
      </c>
    </row>
    <row r="233" spans="2:22" ht="12" customHeight="1" x14ac:dyDescent="0.25">
      <c r="B233" s="68" t="s">
        <v>23</v>
      </c>
      <c r="C233" s="69"/>
      <c r="D233" s="49"/>
      <c r="E233" s="69"/>
      <c r="F233" s="69"/>
      <c r="G233" s="69" t="s">
        <v>30</v>
      </c>
      <c r="H233" s="69" t="s">
        <v>25</v>
      </c>
      <c r="I233" s="69" t="s">
        <v>26</v>
      </c>
      <c r="J233" s="205">
        <v>341</v>
      </c>
      <c r="K233" s="205" t="s">
        <v>27</v>
      </c>
      <c r="L233" s="71" t="s">
        <v>28</v>
      </c>
      <c r="M233" s="205" t="s">
        <v>29</v>
      </c>
      <c r="N233" s="72">
        <f>S231*2%</f>
        <v>80351.444303034805</v>
      </c>
      <c r="O233" s="73">
        <v>0.1115</v>
      </c>
      <c r="P233" s="68">
        <f>(N233/(1-O233))-P235</f>
        <v>80391.009589340465</v>
      </c>
      <c r="Q233" s="73">
        <v>6.1499999999999999E-2</v>
      </c>
      <c r="R233" s="74">
        <f t="array" ref="R233">Q233*P233</f>
        <v>4944.0470897444384</v>
      </c>
      <c r="S233" s="194">
        <f>P233*(1-Q233)</f>
        <v>75446.962499596033</v>
      </c>
      <c r="T233" s="152" t="s">
        <v>72</v>
      </c>
    </row>
    <row r="234" spans="2:22" ht="12" customHeight="1" x14ac:dyDescent="0.25">
      <c r="B234" s="150" t="s">
        <v>23</v>
      </c>
      <c r="C234" s="17"/>
      <c r="D234" s="61"/>
      <c r="E234" s="17"/>
      <c r="F234" s="17"/>
      <c r="G234" s="17" t="s">
        <v>83</v>
      </c>
      <c r="H234" s="17" t="s">
        <v>25</v>
      </c>
      <c r="I234" s="17" t="s">
        <v>26</v>
      </c>
      <c r="J234" s="62">
        <v>341</v>
      </c>
      <c r="K234" s="62" t="s">
        <v>27</v>
      </c>
      <c r="L234" s="63" t="s">
        <v>28</v>
      </c>
      <c r="M234" s="62" t="s">
        <v>29</v>
      </c>
      <c r="N234" s="64">
        <f>S231*0.9%</f>
        <v>36158.149936365669</v>
      </c>
      <c r="O234" s="65">
        <v>0.1115</v>
      </c>
      <c r="P234" s="60">
        <f>N234/(1-O234)</f>
        <v>40695.723057248928</v>
      </c>
      <c r="Q234" s="65">
        <v>6.1499999999999999E-2</v>
      </c>
      <c r="R234" s="66">
        <f>Q234*P234</f>
        <v>2502.7869680208091</v>
      </c>
      <c r="S234" s="193">
        <f>P234*(1-Q234)</f>
        <v>38192.936089228118</v>
      </c>
      <c r="T234" s="67" t="s">
        <v>78</v>
      </c>
    </row>
    <row r="235" spans="2:22" ht="12" customHeight="1" x14ac:dyDescent="0.25">
      <c r="B235" s="68" t="s">
        <v>23</v>
      </c>
      <c r="C235" s="69"/>
      <c r="D235" s="49"/>
      <c r="E235" s="69"/>
      <c r="F235" s="69"/>
      <c r="G235" s="69" t="s">
        <v>102</v>
      </c>
      <c r="H235" s="69" t="s">
        <v>103</v>
      </c>
      <c r="I235" s="69" t="s">
        <v>104</v>
      </c>
      <c r="J235" s="205">
        <v>77</v>
      </c>
      <c r="K235" s="205" t="s">
        <v>105</v>
      </c>
      <c r="L235" s="71" t="s">
        <v>106</v>
      </c>
      <c r="M235" s="205">
        <v>40760111</v>
      </c>
      <c r="N235" s="72"/>
      <c r="O235" s="73"/>
      <c r="P235" s="68">
        <f>S231*0.25%</f>
        <v>10043.930537879351</v>
      </c>
      <c r="Q235" s="73">
        <v>6.1499999999999999E-2</v>
      </c>
      <c r="R235" s="74">
        <f>Q235*P235</f>
        <v>617.70172807958011</v>
      </c>
      <c r="S235" s="194">
        <f>P235*(1-Q235)</f>
        <v>9426.2288097997698</v>
      </c>
      <c r="T235" s="152" t="s">
        <v>107</v>
      </c>
    </row>
    <row r="236" spans="2:22" ht="12" customHeight="1" x14ac:dyDescent="0.2">
      <c r="G236" s="121" t="s">
        <v>51</v>
      </c>
      <c r="H236" s="121"/>
      <c r="I236" s="121"/>
      <c r="J236" s="266"/>
      <c r="K236" s="266"/>
      <c r="L236" s="266"/>
      <c r="M236" s="266"/>
      <c r="N236" s="122"/>
      <c r="O236" s="123"/>
      <c r="P236" s="122"/>
      <c r="Q236" s="123"/>
      <c r="R236" s="124"/>
      <c r="S236" s="195">
        <f>SUM(S237:S238)</f>
        <v>9454.9729903008338</v>
      </c>
    </row>
    <row r="237" spans="2:22" ht="12" customHeight="1" x14ac:dyDescent="0.2">
      <c r="B237" s="205" t="s">
        <v>52</v>
      </c>
      <c r="C237" s="69"/>
      <c r="D237" s="125"/>
      <c r="E237" s="69"/>
      <c r="F237" s="69"/>
      <c r="G237" s="126" t="s">
        <v>53</v>
      </c>
      <c r="H237" s="69" t="s">
        <v>25</v>
      </c>
      <c r="I237" s="69" t="s">
        <v>26</v>
      </c>
      <c r="J237" s="267"/>
      <c r="K237" s="267"/>
      <c r="L237" s="267"/>
      <c r="M237" s="267"/>
      <c r="N237" s="68"/>
      <c r="O237" s="73"/>
      <c r="P237" s="127"/>
      <c r="Q237" s="73"/>
      <c r="R237" s="74"/>
      <c r="S237" s="194">
        <f>SUM(R232:R234)</f>
        <v>8837.271262221253</v>
      </c>
      <c r="T237" s="68"/>
    </row>
    <row r="238" spans="2:22" ht="12" customHeight="1" x14ac:dyDescent="0.2">
      <c r="B238" s="128" t="s">
        <v>52</v>
      </c>
      <c r="C238" s="129"/>
      <c r="D238" s="130"/>
      <c r="E238" s="129"/>
      <c r="F238" s="129"/>
      <c r="G238" s="131" t="s">
        <v>108</v>
      </c>
      <c r="H238" s="129" t="s">
        <v>103</v>
      </c>
      <c r="I238" s="129" t="s">
        <v>104</v>
      </c>
      <c r="J238" s="200"/>
      <c r="K238" s="200"/>
      <c r="L238" s="200"/>
      <c r="M238" s="200"/>
      <c r="N238" s="134"/>
      <c r="O238" s="135"/>
      <c r="P238" s="136"/>
      <c r="Q238" s="135"/>
      <c r="R238" s="137"/>
      <c r="S238" s="201">
        <f>SUM(R235)</f>
        <v>617.70172807958011</v>
      </c>
      <c r="T238" s="134"/>
    </row>
    <row r="239" spans="2:22" ht="12" customHeight="1" x14ac:dyDescent="0.2">
      <c r="B239" s="205" t="s">
        <v>23</v>
      </c>
      <c r="C239" s="69"/>
      <c r="D239" s="125"/>
      <c r="E239" s="69"/>
      <c r="F239" s="69"/>
      <c r="G239" s="126" t="s">
        <v>75</v>
      </c>
      <c r="H239" s="69" t="s">
        <v>46</v>
      </c>
      <c r="I239" s="69" t="s">
        <v>47</v>
      </c>
      <c r="J239" s="267">
        <v>341</v>
      </c>
      <c r="K239" s="267" t="s">
        <v>27</v>
      </c>
      <c r="L239" s="267" t="s">
        <v>76</v>
      </c>
      <c r="M239" s="267" t="s">
        <v>81</v>
      </c>
      <c r="N239" s="68"/>
      <c r="O239" s="73"/>
      <c r="P239" s="127"/>
      <c r="Q239" s="73"/>
      <c r="R239" s="74"/>
      <c r="S239" s="204">
        <f>86381.52+7167.17+130560.35</f>
        <v>224109.04</v>
      </c>
      <c r="T239" s="68"/>
      <c r="V239" s="206">
        <f>S239/S231</f>
        <v>5.5782205769644294E-2</v>
      </c>
    </row>
    <row r="240" spans="2:22" ht="12" customHeight="1" x14ac:dyDescent="0.2">
      <c r="B240" s="128" t="s">
        <v>23</v>
      </c>
      <c r="C240" s="129"/>
      <c r="D240" s="130"/>
      <c r="E240" s="129"/>
      <c r="F240" s="129"/>
      <c r="G240" s="131" t="s">
        <v>110</v>
      </c>
      <c r="H240" s="129" t="s">
        <v>46</v>
      </c>
      <c r="I240" s="129" t="s">
        <v>47</v>
      </c>
      <c r="J240" s="200">
        <v>341</v>
      </c>
      <c r="K240" s="200" t="s">
        <v>27</v>
      </c>
      <c r="L240" s="200" t="s">
        <v>76</v>
      </c>
      <c r="M240" s="200" t="s">
        <v>81</v>
      </c>
      <c r="N240" s="134"/>
      <c r="O240" s="135"/>
      <c r="P240" s="136"/>
      <c r="Q240" s="135"/>
      <c r="R240" s="137"/>
      <c r="S240" s="201">
        <f>S231-SUM(S232:S236,S239)</f>
        <v>3639723.7769354666</v>
      </c>
      <c r="T240" s="134"/>
      <c r="V240" s="206" t="e">
        <f>#REF!</f>
        <v>#REF!</v>
      </c>
    </row>
    <row r="241" spans="2:20" ht="12" customHeight="1" x14ac:dyDescent="0.2">
      <c r="B241" s="141" t="s">
        <v>21</v>
      </c>
      <c r="C241" s="142"/>
      <c r="D241" s="143"/>
      <c r="E241" s="142"/>
      <c r="F241" s="142"/>
      <c r="G241" s="144"/>
      <c r="H241" s="144"/>
      <c r="I241" s="144"/>
      <c r="J241" s="143"/>
      <c r="K241" s="143"/>
      <c r="L241" s="145"/>
      <c r="M241" s="145"/>
      <c r="N241" s="143"/>
      <c r="O241" s="143"/>
      <c r="P241" s="143"/>
      <c r="Q241" s="143"/>
      <c r="R241" s="74"/>
      <c r="S241" s="197">
        <f>S231-SUM(S232:S236,S239:S240)</f>
        <v>0</v>
      </c>
      <c r="T241" s="68"/>
    </row>
    <row r="242" spans="2:20" ht="12" customHeight="1" x14ac:dyDescent="0.2">
      <c r="B242" s="155"/>
      <c r="C242" s="156"/>
      <c r="D242" s="157"/>
      <c r="E242" s="156"/>
      <c r="F242" s="156"/>
      <c r="G242" s="158"/>
      <c r="H242" s="158"/>
      <c r="I242" s="158"/>
      <c r="J242" s="157"/>
      <c r="K242" s="157"/>
      <c r="L242" s="159"/>
      <c r="M242" s="159"/>
      <c r="N242" s="157"/>
      <c r="O242" s="157"/>
      <c r="P242" s="157"/>
      <c r="Q242" s="157"/>
      <c r="R242" s="160"/>
      <c r="S242" s="161"/>
      <c r="T242" s="162"/>
    </row>
    <row r="243" spans="2:20" ht="12" customHeight="1" x14ac:dyDescent="0.25">
      <c r="B243" s="47" t="s">
        <v>20</v>
      </c>
      <c r="C243" s="48">
        <v>314</v>
      </c>
      <c r="D243" s="49">
        <v>44008</v>
      </c>
      <c r="E243" s="50">
        <v>944.11872614000004</v>
      </c>
      <c r="F243" s="51">
        <v>1250</v>
      </c>
      <c r="G243" s="52" t="s">
        <v>20</v>
      </c>
      <c r="H243" s="53"/>
      <c r="I243" s="53"/>
      <c r="J243" s="54"/>
      <c r="K243" s="54"/>
      <c r="L243" s="55"/>
      <c r="M243" s="54"/>
      <c r="N243" s="47"/>
      <c r="O243" s="56"/>
      <c r="P243" s="47"/>
      <c r="Q243" s="56"/>
      <c r="R243" s="57"/>
      <c r="S243" s="192">
        <f>E243*F243</f>
        <v>1180148.4076750001</v>
      </c>
      <c r="T243" s="68"/>
    </row>
    <row r="244" spans="2:20" ht="12" customHeight="1" x14ac:dyDescent="0.25">
      <c r="B244" s="47" t="s">
        <v>20</v>
      </c>
      <c r="C244" s="48">
        <v>315</v>
      </c>
      <c r="D244" s="49">
        <v>44008</v>
      </c>
      <c r="E244" s="50">
        <v>903.04246246000002</v>
      </c>
      <c r="F244" s="51">
        <v>1250</v>
      </c>
      <c r="G244" s="52" t="s">
        <v>20</v>
      </c>
      <c r="H244" s="53"/>
      <c r="I244" s="53"/>
      <c r="J244" s="54"/>
      <c r="K244" s="54"/>
      <c r="L244" s="55"/>
      <c r="M244" s="54"/>
      <c r="N244" s="47"/>
      <c r="O244" s="56"/>
      <c r="P244" s="47"/>
      <c r="Q244" s="56"/>
      <c r="R244" s="57"/>
      <c r="S244" s="192">
        <f>E244*F244</f>
        <v>1128803.0780750001</v>
      </c>
      <c r="T244" s="68"/>
    </row>
    <row r="245" spans="2:20" ht="12" customHeight="1" x14ac:dyDescent="0.25">
      <c r="B245" s="47" t="s">
        <v>20</v>
      </c>
      <c r="C245" s="48" t="s">
        <v>21</v>
      </c>
      <c r="D245" s="49"/>
      <c r="E245" s="50"/>
      <c r="F245" s="51"/>
      <c r="G245" s="52" t="s">
        <v>22</v>
      </c>
      <c r="H245" s="53"/>
      <c r="I245" s="53"/>
      <c r="J245" s="54"/>
      <c r="K245" s="54"/>
      <c r="L245" s="55"/>
      <c r="M245" s="54"/>
      <c r="N245" s="47"/>
      <c r="O245" s="56"/>
      <c r="P245" s="47"/>
      <c r="Q245" s="56"/>
      <c r="R245" s="57"/>
      <c r="S245" s="192">
        <f>SUM(S243:S244)</f>
        <v>2308951.48575</v>
      </c>
      <c r="T245" s="68"/>
    </row>
    <row r="246" spans="2:20" ht="12" customHeight="1" x14ac:dyDescent="0.25">
      <c r="B246" s="150" t="s">
        <v>23</v>
      </c>
      <c r="C246" s="17"/>
      <c r="D246" s="61"/>
      <c r="E246" s="17"/>
      <c r="F246" s="17"/>
      <c r="G246" s="17" t="s">
        <v>24</v>
      </c>
      <c r="H246" s="17" t="s">
        <v>25</v>
      </c>
      <c r="I246" s="17" t="s">
        <v>26</v>
      </c>
      <c r="J246" s="62">
        <v>341</v>
      </c>
      <c r="K246" s="62" t="s">
        <v>27</v>
      </c>
      <c r="L246" s="63" t="s">
        <v>28</v>
      </c>
      <c r="M246" s="62" t="s">
        <v>29</v>
      </c>
      <c r="N246" s="60">
        <f>S245*0.5%</f>
        <v>11544.757428750001</v>
      </c>
      <c r="O246" s="65">
        <v>0.1115</v>
      </c>
      <c r="P246" s="60">
        <f>N246/(1-O246)</f>
        <v>12993.536779684864</v>
      </c>
      <c r="Q246" s="65">
        <v>6.1499999999999999E-2</v>
      </c>
      <c r="R246" s="66">
        <f>Q246*P246</f>
        <v>799.10251195061915</v>
      </c>
      <c r="S246" s="193">
        <f>P246*(1-Q246)</f>
        <v>12194.434267734245</v>
      </c>
      <c r="T246" s="67" t="s">
        <v>77</v>
      </c>
    </row>
    <row r="247" spans="2:20" ht="12" customHeight="1" x14ac:dyDescent="0.25">
      <c r="B247" s="68" t="s">
        <v>23</v>
      </c>
      <c r="C247" s="69"/>
      <c r="D247" s="49"/>
      <c r="E247" s="69"/>
      <c r="F247" s="69"/>
      <c r="G247" s="69" t="s">
        <v>30</v>
      </c>
      <c r="H247" s="69" t="s">
        <v>25</v>
      </c>
      <c r="I247" s="69" t="s">
        <v>26</v>
      </c>
      <c r="J247" s="208">
        <v>341</v>
      </c>
      <c r="K247" s="208" t="s">
        <v>27</v>
      </c>
      <c r="L247" s="71" t="s">
        <v>28</v>
      </c>
      <c r="M247" s="208" t="s">
        <v>29</v>
      </c>
      <c r="N247" s="68">
        <f>S245*2%</f>
        <v>46179.029715000004</v>
      </c>
      <c r="O247" s="73">
        <v>0.1115</v>
      </c>
      <c r="P247" s="68">
        <f>(N247/(1-O247))-P249</f>
        <v>46201.768404364455</v>
      </c>
      <c r="Q247" s="73">
        <v>6.1499999999999999E-2</v>
      </c>
      <c r="R247" s="74">
        <f t="array" ref="R247">Q247*P247</f>
        <v>2841.408756868414</v>
      </c>
      <c r="S247" s="194">
        <f>P247*(1-Q247)</f>
        <v>43360.359647496043</v>
      </c>
      <c r="T247" s="152" t="s">
        <v>72</v>
      </c>
    </row>
    <row r="248" spans="2:20" ht="12" customHeight="1" x14ac:dyDescent="0.25">
      <c r="B248" s="150" t="s">
        <v>23</v>
      </c>
      <c r="C248" s="17"/>
      <c r="D248" s="61"/>
      <c r="E248" s="17"/>
      <c r="F248" s="17"/>
      <c r="G248" s="17" t="s">
        <v>83</v>
      </c>
      <c r="H248" s="17" t="s">
        <v>25</v>
      </c>
      <c r="I248" s="17" t="s">
        <v>26</v>
      </c>
      <c r="J248" s="62">
        <v>341</v>
      </c>
      <c r="K248" s="62" t="s">
        <v>27</v>
      </c>
      <c r="L248" s="63" t="s">
        <v>28</v>
      </c>
      <c r="M248" s="62" t="s">
        <v>29</v>
      </c>
      <c r="N248" s="60">
        <f>S245*0.9%</f>
        <v>20780.563371750002</v>
      </c>
      <c r="O248" s="65">
        <v>0.1115</v>
      </c>
      <c r="P248" s="60">
        <f>N248/(1-O248)</f>
        <v>23388.366203432757</v>
      </c>
      <c r="Q248" s="65">
        <v>6.1499999999999999E-2</v>
      </c>
      <c r="R248" s="66">
        <f>Q248*P248</f>
        <v>1438.3845215111146</v>
      </c>
      <c r="S248" s="193">
        <f>P248*(1-Q248)</f>
        <v>21949.981681921643</v>
      </c>
      <c r="T248" s="67" t="s">
        <v>78</v>
      </c>
    </row>
    <row r="249" spans="2:20" ht="12" customHeight="1" x14ac:dyDescent="0.25">
      <c r="B249" s="68" t="s">
        <v>113</v>
      </c>
      <c r="C249" s="69"/>
      <c r="D249" s="49"/>
      <c r="E249" s="69"/>
      <c r="F249" s="69"/>
      <c r="G249" s="69" t="s">
        <v>102</v>
      </c>
      <c r="H249" s="69" t="s">
        <v>103</v>
      </c>
      <c r="I249" s="69" t="s">
        <v>104</v>
      </c>
      <c r="J249" s="208">
        <v>77</v>
      </c>
      <c r="K249" s="208" t="s">
        <v>105</v>
      </c>
      <c r="L249" s="71" t="s">
        <v>106</v>
      </c>
      <c r="M249" s="208">
        <v>40760111</v>
      </c>
      <c r="N249" s="68"/>
      <c r="O249" s="73"/>
      <c r="P249" s="68">
        <f>S245*0.25%</f>
        <v>5772.3787143750005</v>
      </c>
      <c r="Q249" s="73">
        <v>6.1499999999999999E-2</v>
      </c>
      <c r="R249" s="74">
        <f>Q249*P249</f>
        <v>355.00129093406252</v>
      </c>
      <c r="S249" s="194">
        <f>P249*(1-Q249)</f>
        <v>5417.3774234409384</v>
      </c>
      <c r="T249" s="152" t="s">
        <v>107</v>
      </c>
    </row>
    <row r="250" spans="2:20" ht="12" customHeight="1" x14ac:dyDescent="0.2">
      <c r="G250" s="121" t="s">
        <v>51</v>
      </c>
      <c r="H250" s="121"/>
      <c r="I250" s="121"/>
      <c r="J250" s="266"/>
      <c r="K250" s="266"/>
      <c r="L250" s="266"/>
      <c r="M250" s="266"/>
      <c r="N250" s="122"/>
      <c r="O250" s="123"/>
      <c r="P250" s="122"/>
      <c r="Q250" s="123"/>
      <c r="R250" s="124"/>
      <c r="S250" s="195">
        <f>SUM(S251:S252)</f>
        <v>5433.8970812642092</v>
      </c>
    </row>
    <row r="251" spans="2:20" ht="12" customHeight="1" x14ac:dyDescent="0.2">
      <c r="B251" s="208" t="s">
        <v>52</v>
      </c>
      <c r="C251" s="69"/>
      <c r="D251" s="125"/>
      <c r="E251" s="69"/>
      <c r="F251" s="69"/>
      <c r="G251" s="126" t="s">
        <v>53</v>
      </c>
      <c r="H251" s="69" t="s">
        <v>25</v>
      </c>
      <c r="I251" s="69" t="s">
        <v>26</v>
      </c>
      <c r="J251" s="267"/>
      <c r="K251" s="267"/>
      <c r="L251" s="267"/>
      <c r="M251" s="267"/>
      <c r="N251" s="68"/>
      <c r="O251" s="73"/>
      <c r="P251" s="127"/>
      <c r="Q251" s="73"/>
      <c r="R251" s="74"/>
      <c r="S251" s="194">
        <f>SUM(R246:R248)</f>
        <v>5078.8957903301471</v>
      </c>
      <c r="T251" s="68"/>
    </row>
    <row r="252" spans="2:20" ht="12" customHeight="1" x14ac:dyDescent="0.2">
      <c r="B252" s="62" t="s">
        <v>52</v>
      </c>
      <c r="C252" s="17"/>
      <c r="D252" s="138"/>
      <c r="E252" s="17"/>
      <c r="F252" s="17"/>
      <c r="G252" s="139" t="s">
        <v>108</v>
      </c>
      <c r="H252" s="17" t="s">
        <v>103</v>
      </c>
      <c r="I252" s="17" t="s">
        <v>104</v>
      </c>
      <c r="J252" s="209"/>
      <c r="K252" s="209"/>
      <c r="L252" s="209"/>
      <c r="M252" s="209"/>
      <c r="N252" s="60"/>
      <c r="O252" s="65"/>
      <c r="P252" s="140"/>
      <c r="Q252" s="65"/>
      <c r="R252" s="137"/>
      <c r="S252" s="193">
        <f>SUM(R249)</f>
        <v>355.00129093406252</v>
      </c>
      <c r="T252" s="60"/>
    </row>
    <row r="253" spans="2:20" ht="12" customHeight="1" x14ac:dyDescent="0.2">
      <c r="B253" s="208" t="s">
        <v>23</v>
      </c>
      <c r="C253" s="69"/>
      <c r="D253" s="125"/>
      <c r="E253" s="69"/>
      <c r="F253" s="69"/>
      <c r="G253" s="69" t="s">
        <v>110</v>
      </c>
      <c r="H253" s="69" t="s">
        <v>46</v>
      </c>
      <c r="I253" s="69" t="s">
        <v>47</v>
      </c>
      <c r="J253" s="207">
        <v>341</v>
      </c>
      <c r="K253" s="207" t="s">
        <v>27</v>
      </c>
      <c r="L253" s="207" t="s">
        <v>76</v>
      </c>
      <c r="M253" s="207" t="s">
        <v>81</v>
      </c>
      <c r="N253" s="68"/>
      <c r="O253" s="73"/>
      <c r="P253" s="127"/>
      <c r="Q253" s="73"/>
      <c r="R253" s="74"/>
      <c r="S253" s="194">
        <f>S245-SUM(S246:S250)-S254</f>
        <v>2105157.2256481429</v>
      </c>
      <c r="T253" s="68"/>
    </row>
    <row r="254" spans="2:20" ht="12" customHeight="1" x14ac:dyDescent="0.2">
      <c r="B254" s="62" t="s">
        <v>23</v>
      </c>
      <c r="C254" s="17"/>
      <c r="D254" s="138"/>
      <c r="E254" s="17"/>
      <c r="F254" s="17"/>
      <c r="G254" s="17" t="s">
        <v>75</v>
      </c>
      <c r="H254" s="17" t="s">
        <v>46</v>
      </c>
      <c r="I254" s="17" t="s">
        <v>47</v>
      </c>
      <c r="J254" s="213">
        <v>341</v>
      </c>
      <c r="K254" s="213" t="s">
        <v>27</v>
      </c>
      <c r="L254" s="213" t="s">
        <v>76</v>
      </c>
      <c r="M254" s="213" t="s">
        <v>81</v>
      </c>
      <c r="N254" s="67"/>
      <c r="O254" s="65"/>
      <c r="P254" s="140"/>
      <c r="Q254" s="65"/>
      <c r="R254" s="137"/>
      <c r="S254" s="193">
        <f>37791.55+77646.66</f>
        <v>115438.21</v>
      </c>
      <c r="T254" s="60"/>
    </row>
    <row r="255" spans="2:20" ht="12" customHeight="1" x14ac:dyDescent="0.2">
      <c r="B255" s="155"/>
      <c r="C255" s="156"/>
      <c r="D255" s="157"/>
      <c r="E255" s="156"/>
      <c r="F255" s="156"/>
      <c r="G255" s="158"/>
      <c r="H255" s="158"/>
      <c r="I255" s="158"/>
      <c r="J255" s="157"/>
      <c r="K255" s="157"/>
      <c r="L255" s="159"/>
      <c r="M255" s="159"/>
      <c r="N255" s="157"/>
      <c r="O255" s="157"/>
      <c r="P255" s="157"/>
      <c r="Q255" s="157"/>
      <c r="R255" s="160"/>
      <c r="S255" s="161"/>
      <c r="T255" s="162"/>
    </row>
    <row r="256" spans="2:20" ht="15" x14ac:dyDescent="0.2">
      <c r="B256" s="141" t="s">
        <v>21</v>
      </c>
      <c r="C256" s="142"/>
      <c r="D256" s="143"/>
      <c r="E256" s="142"/>
      <c r="F256" s="142"/>
      <c r="G256" s="144"/>
      <c r="H256" s="144"/>
      <c r="I256" s="144"/>
      <c r="J256" s="143"/>
      <c r="K256" s="143"/>
      <c r="L256" s="145"/>
      <c r="M256" s="145"/>
      <c r="N256" s="143"/>
      <c r="O256" s="143"/>
      <c r="P256" s="143"/>
      <c r="Q256" s="143"/>
      <c r="R256" s="74"/>
      <c r="S256" s="197">
        <f>S245-SUM(S246:S250,S253:S254)</f>
        <v>0</v>
      </c>
      <c r="T256" s="68"/>
    </row>
    <row r="257" spans="2:20" ht="15" x14ac:dyDescent="0.25">
      <c r="B257" s="47" t="s">
        <v>20</v>
      </c>
      <c r="C257" s="48">
        <v>315</v>
      </c>
      <c r="D257" s="49">
        <v>44011</v>
      </c>
      <c r="E257" s="50">
        <v>903.51997835999998</v>
      </c>
      <c r="F257" s="51">
        <v>950</v>
      </c>
      <c r="G257" s="52" t="s">
        <v>20</v>
      </c>
      <c r="H257" s="53"/>
      <c r="I257" s="53"/>
      <c r="J257" s="54"/>
      <c r="K257" s="54"/>
      <c r="L257" s="55"/>
      <c r="M257" s="54"/>
      <c r="N257" s="47"/>
      <c r="O257" s="56"/>
      <c r="P257" s="47"/>
      <c r="Q257" s="56"/>
      <c r="R257" s="57"/>
      <c r="S257" s="192">
        <f>E257*F257</f>
        <v>858343.97944200004</v>
      </c>
      <c r="T257" s="68"/>
    </row>
    <row r="258" spans="2:20" ht="15" x14ac:dyDescent="0.25">
      <c r="B258" s="47" t="s">
        <v>20</v>
      </c>
      <c r="C258" s="48">
        <v>319</v>
      </c>
      <c r="D258" s="49">
        <v>44011</v>
      </c>
      <c r="E258" s="50">
        <v>985.29218843000001</v>
      </c>
      <c r="F258" s="51">
        <v>950</v>
      </c>
      <c r="G258" s="52" t="s">
        <v>20</v>
      </c>
      <c r="H258" s="53"/>
      <c r="I258" s="53"/>
      <c r="J258" s="54"/>
      <c r="K258" s="54"/>
      <c r="L258" s="55"/>
      <c r="M258" s="54"/>
      <c r="N258" s="47"/>
      <c r="O258" s="56"/>
      <c r="P258" s="47"/>
      <c r="Q258" s="56"/>
      <c r="R258" s="57"/>
      <c r="S258" s="192">
        <f>E258*F258</f>
        <v>936027.57900849998</v>
      </c>
      <c r="T258" s="68"/>
    </row>
    <row r="259" spans="2:20" ht="15" x14ac:dyDescent="0.25">
      <c r="B259" s="47" t="s">
        <v>20</v>
      </c>
      <c r="C259" s="48" t="s">
        <v>21</v>
      </c>
      <c r="D259" s="49"/>
      <c r="E259" s="50"/>
      <c r="F259" s="51"/>
      <c r="G259" s="52" t="s">
        <v>22</v>
      </c>
      <c r="H259" s="53"/>
      <c r="I259" s="53"/>
      <c r="J259" s="54"/>
      <c r="K259" s="54"/>
      <c r="L259" s="55"/>
      <c r="M259" s="54"/>
      <c r="N259" s="47"/>
      <c r="O259" s="56"/>
      <c r="P259" s="47"/>
      <c r="Q259" s="56"/>
      <c r="R259" s="57"/>
      <c r="S259" s="192">
        <f>SUM(S257:S258)</f>
        <v>1794371.5584505</v>
      </c>
      <c r="T259" s="68"/>
    </row>
    <row r="260" spans="2:20" ht="12" customHeight="1" x14ac:dyDescent="0.25">
      <c r="B260" s="150" t="s">
        <v>23</v>
      </c>
      <c r="C260" s="17"/>
      <c r="D260" s="61"/>
      <c r="E260" s="17"/>
      <c r="F260" s="17"/>
      <c r="G260" s="17" t="s">
        <v>24</v>
      </c>
      <c r="H260" s="17" t="s">
        <v>25</v>
      </c>
      <c r="I260" s="17" t="s">
        <v>26</v>
      </c>
      <c r="J260" s="62">
        <v>341</v>
      </c>
      <c r="K260" s="62" t="s">
        <v>27</v>
      </c>
      <c r="L260" s="63" t="s">
        <v>28</v>
      </c>
      <c r="M260" s="62" t="s">
        <v>29</v>
      </c>
      <c r="N260" s="60">
        <f>S259*0.5%</f>
        <v>8971.8577922525001</v>
      </c>
      <c r="O260" s="65">
        <v>0.1115</v>
      </c>
      <c r="P260" s="60">
        <f>N260/(1-O260)</f>
        <v>10097.757785315138</v>
      </c>
      <c r="Q260" s="65">
        <v>6.1499999999999999E-2</v>
      </c>
      <c r="R260" s="66">
        <f>Q260*P260</f>
        <v>621.01210379688098</v>
      </c>
      <c r="S260" s="193">
        <f>P260*(1-Q260)</f>
        <v>9476.7456815182577</v>
      </c>
      <c r="T260" s="67" t="s">
        <v>77</v>
      </c>
    </row>
    <row r="261" spans="2:20" ht="12" customHeight="1" x14ac:dyDescent="0.25">
      <c r="B261" s="68" t="s">
        <v>23</v>
      </c>
      <c r="C261" s="69"/>
      <c r="D261" s="49"/>
      <c r="E261" s="69"/>
      <c r="F261" s="69"/>
      <c r="G261" s="69" t="s">
        <v>30</v>
      </c>
      <c r="H261" s="69" t="s">
        <v>25</v>
      </c>
      <c r="I261" s="69" t="s">
        <v>26</v>
      </c>
      <c r="J261" s="208">
        <v>341</v>
      </c>
      <c r="K261" s="208" t="s">
        <v>27</v>
      </c>
      <c r="L261" s="71" t="s">
        <v>28</v>
      </c>
      <c r="M261" s="208" t="s">
        <v>29</v>
      </c>
      <c r="N261" s="68">
        <f>S259*2%</f>
        <v>35887.43116901</v>
      </c>
      <c r="O261" s="73">
        <v>0.1115</v>
      </c>
      <c r="P261" s="68">
        <f>(N261/(1-O261))-P263</f>
        <v>35905.102245134301</v>
      </c>
      <c r="Q261" s="73">
        <v>6.1499999999999999E-2</v>
      </c>
      <c r="R261" s="74">
        <f t="array" ref="R261">Q261*P261</f>
        <v>2208.1637880757594</v>
      </c>
      <c r="S261" s="194">
        <f>P261*(1-Q261)</f>
        <v>33696.938457058539</v>
      </c>
      <c r="T261" s="152" t="s">
        <v>72</v>
      </c>
    </row>
    <row r="262" spans="2:20" ht="12" customHeight="1" x14ac:dyDescent="0.25">
      <c r="B262" s="150" t="s">
        <v>23</v>
      </c>
      <c r="C262" s="17"/>
      <c r="D262" s="61"/>
      <c r="E262" s="17"/>
      <c r="F262" s="17"/>
      <c r="G262" s="17" t="s">
        <v>83</v>
      </c>
      <c r="H262" s="17" t="s">
        <v>25</v>
      </c>
      <c r="I262" s="17" t="s">
        <v>26</v>
      </c>
      <c r="J262" s="62">
        <v>341</v>
      </c>
      <c r="K262" s="62" t="s">
        <v>27</v>
      </c>
      <c r="L262" s="63" t="s">
        <v>28</v>
      </c>
      <c r="M262" s="62" t="s">
        <v>29</v>
      </c>
      <c r="N262" s="60">
        <f>S259*0.9%</f>
        <v>16149.344026054501</v>
      </c>
      <c r="O262" s="65">
        <v>0.1115</v>
      </c>
      <c r="P262" s="60">
        <f>N262/(1-O262)</f>
        <v>18175.964013567249</v>
      </c>
      <c r="Q262" s="65">
        <v>6.1499999999999999E-2</v>
      </c>
      <c r="R262" s="66">
        <f>Q262*P262</f>
        <v>1117.8217868343859</v>
      </c>
      <c r="S262" s="193">
        <f>P262*(1-Q262)</f>
        <v>17058.142226732863</v>
      </c>
      <c r="T262" s="67" t="s">
        <v>78</v>
      </c>
    </row>
    <row r="263" spans="2:20" ht="12" customHeight="1" x14ac:dyDescent="0.25">
      <c r="B263" s="68" t="s">
        <v>113</v>
      </c>
      <c r="C263" s="69"/>
      <c r="D263" s="49"/>
      <c r="E263" s="69"/>
      <c r="F263" s="69"/>
      <c r="G263" s="69" t="s">
        <v>102</v>
      </c>
      <c r="H263" s="69" t="s">
        <v>103</v>
      </c>
      <c r="I263" s="69" t="s">
        <v>104</v>
      </c>
      <c r="J263" s="208">
        <v>77</v>
      </c>
      <c r="K263" s="208" t="s">
        <v>105</v>
      </c>
      <c r="L263" s="71" t="s">
        <v>106</v>
      </c>
      <c r="M263" s="208">
        <v>40760111</v>
      </c>
      <c r="N263" s="68"/>
      <c r="O263" s="73"/>
      <c r="P263" s="68">
        <f>S259*0.25%</f>
        <v>4485.92889612625</v>
      </c>
      <c r="Q263" s="73">
        <v>6.1499999999999999E-2</v>
      </c>
      <c r="R263" s="74">
        <f>Q263*P263</f>
        <v>275.88462711176436</v>
      </c>
      <c r="S263" s="194">
        <f>P263*(1-Q263)</f>
        <v>4210.0442690144855</v>
      </c>
      <c r="T263" s="152" t="s">
        <v>107</v>
      </c>
    </row>
    <row r="264" spans="2:20" ht="12" customHeight="1" x14ac:dyDescent="0.2">
      <c r="G264" s="121" t="s">
        <v>51</v>
      </c>
      <c r="H264" s="121"/>
      <c r="I264" s="121"/>
      <c r="J264" s="266"/>
      <c r="K264" s="266"/>
      <c r="L264" s="266"/>
      <c r="M264" s="266"/>
      <c r="N264" s="122"/>
      <c r="O264" s="123"/>
      <c r="P264" s="122"/>
      <c r="Q264" s="123"/>
      <c r="R264" s="124"/>
      <c r="S264" s="195">
        <f>SUM(S265:S266)</f>
        <v>4222.8823058187909</v>
      </c>
    </row>
    <row r="265" spans="2:20" ht="12" customHeight="1" x14ac:dyDescent="0.2">
      <c r="B265" s="208" t="s">
        <v>52</v>
      </c>
      <c r="C265" s="69"/>
      <c r="D265" s="125"/>
      <c r="E265" s="69"/>
      <c r="F265" s="69"/>
      <c r="G265" s="126" t="s">
        <v>53</v>
      </c>
      <c r="H265" s="69" t="s">
        <v>25</v>
      </c>
      <c r="I265" s="69" t="s">
        <v>26</v>
      </c>
      <c r="J265" s="267"/>
      <c r="K265" s="267"/>
      <c r="L265" s="267"/>
      <c r="M265" s="267"/>
      <c r="N265" s="68"/>
      <c r="O265" s="73"/>
      <c r="P265" s="127"/>
      <c r="Q265" s="73"/>
      <c r="R265" s="74"/>
      <c r="S265" s="194">
        <f>SUM(R260:R262)</f>
        <v>3946.9976787070264</v>
      </c>
      <c r="T265" s="68"/>
    </row>
    <row r="266" spans="2:20" ht="12" customHeight="1" x14ac:dyDescent="0.2">
      <c r="B266" s="62" t="s">
        <v>52</v>
      </c>
      <c r="C266" s="17"/>
      <c r="D266" s="138"/>
      <c r="E266" s="17"/>
      <c r="F266" s="17"/>
      <c r="G266" s="139" t="s">
        <v>108</v>
      </c>
      <c r="H266" s="17" t="s">
        <v>103</v>
      </c>
      <c r="I266" s="17" t="s">
        <v>104</v>
      </c>
      <c r="J266" s="209"/>
      <c r="K266" s="209"/>
      <c r="L266" s="209"/>
      <c r="M266" s="209"/>
      <c r="N266" s="60"/>
      <c r="O266" s="65"/>
      <c r="P266" s="140"/>
      <c r="Q266" s="65"/>
      <c r="R266" s="137"/>
      <c r="S266" s="193">
        <f>SUM(R263)</f>
        <v>275.88462711176436</v>
      </c>
      <c r="T266" s="60"/>
    </row>
    <row r="267" spans="2:20" ht="12" customHeight="1" x14ac:dyDescent="0.2">
      <c r="B267" s="208" t="s">
        <v>23</v>
      </c>
      <c r="C267" s="69"/>
      <c r="D267" s="125"/>
      <c r="E267" s="69"/>
      <c r="F267" s="69"/>
      <c r="G267" s="69" t="s">
        <v>110</v>
      </c>
      <c r="H267" s="69" t="s">
        <v>46</v>
      </c>
      <c r="I267" s="69" t="s">
        <v>47</v>
      </c>
      <c r="J267" s="207">
        <v>341</v>
      </c>
      <c r="K267" s="207" t="s">
        <v>27</v>
      </c>
      <c r="L267" s="207" t="s">
        <v>76</v>
      </c>
      <c r="M267" s="207" t="s">
        <v>81</v>
      </c>
      <c r="N267" s="68"/>
      <c r="O267" s="73"/>
      <c r="P267" s="127"/>
      <c r="Q267" s="73"/>
      <c r="R267" s="74"/>
      <c r="S267" s="194">
        <f>S259-SUM(S260:S264)-S268</f>
        <v>1621192.055510357</v>
      </c>
      <c r="T267" s="68"/>
    </row>
    <row r="268" spans="2:20" ht="12" customHeight="1" x14ac:dyDescent="0.2">
      <c r="B268" s="62" t="s">
        <v>23</v>
      </c>
      <c r="C268" s="17"/>
      <c r="D268" s="138"/>
      <c r="E268" s="17"/>
      <c r="F268" s="17"/>
      <c r="G268" s="17" t="s">
        <v>75</v>
      </c>
      <c r="H268" s="17" t="s">
        <v>46</v>
      </c>
      <c r="I268" s="17" t="s">
        <v>47</v>
      </c>
      <c r="J268" s="213">
        <v>341</v>
      </c>
      <c r="K268" s="213" t="s">
        <v>27</v>
      </c>
      <c r="L268" s="213" t="s">
        <v>76</v>
      </c>
      <c r="M268" s="213" t="s">
        <v>81</v>
      </c>
      <c r="N268" s="67"/>
      <c r="O268" s="65"/>
      <c r="P268" s="140"/>
      <c r="Q268" s="65"/>
      <c r="R268" s="137"/>
      <c r="S268" s="193">
        <f>59011.46+45503.29</f>
        <v>104514.75</v>
      </c>
      <c r="T268" s="60"/>
    </row>
    <row r="269" spans="2:20" ht="12" customHeight="1" x14ac:dyDescent="0.2">
      <c r="B269" s="141" t="s">
        <v>21</v>
      </c>
      <c r="C269" s="142"/>
      <c r="D269" s="143"/>
      <c r="E269" s="142"/>
      <c r="F269" s="142"/>
      <c r="G269" s="144"/>
      <c r="H269" s="144"/>
      <c r="I269" s="144"/>
      <c r="J269" s="143"/>
      <c r="K269" s="143"/>
      <c r="L269" s="145"/>
      <c r="M269" s="145"/>
      <c r="N269" s="143"/>
      <c r="O269" s="143"/>
      <c r="P269" s="143"/>
      <c r="Q269" s="143"/>
      <c r="R269" s="74"/>
      <c r="S269" s="197">
        <f>S259-SUM(S260:S264,S267:S268)</f>
        <v>0</v>
      </c>
      <c r="T269" s="68"/>
    </row>
    <row r="270" spans="2:20" ht="12" customHeight="1" x14ac:dyDescent="0.2">
      <c r="B270" s="155"/>
      <c r="C270" s="156"/>
      <c r="D270" s="157"/>
      <c r="E270" s="156"/>
      <c r="F270" s="156"/>
      <c r="G270" s="158"/>
      <c r="H270" s="158"/>
      <c r="I270" s="158"/>
      <c r="J270" s="157"/>
      <c r="K270" s="157"/>
      <c r="L270" s="159"/>
      <c r="M270" s="159"/>
      <c r="N270" s="157"/>
      <c r="O270" s="157"/>
      <c r="P270" s="157"/>
      <c r="Q270" s="157"/>
      <c r="R270" s="160"/>
      <c r="S270" s="161"/>
      <c r="T270" s="162"/>
    </row>
    <row r="271" spans="2:20" ht="15" x14ac:dyDescent="0.2">
      <c r="B271" s="141" t="s">
        <v>21</v>
      </c>
      <c r="C271" s="142"/>
      <c r="D271" s="143"/>
      <c r="E271" s="142"/>
      <c r="F271" s="142"/>
      <c r="G271" s="144"/>
      <c r="H271" s="144"/>
      <c r="I271" s="144"/>
      <c r="J271" s="143"/>
      <c r="K271" s="143"/>
      <c r="L271" s="145"/>
      <c r="M271" s="145"/>
      <c r="N271" s="143"/>
      <c r="O271" s="143"/>
      <c r="P271" s="143"/>
      <c r="Q271" s="143"/>
      <c r="R271" s="74"/>
      <c r="S271" s="192"/>
      <c r="T271" s="68"/>
    </row>
    <row r="272" spans="2:20" ht="15" x14ac:dyDescent="0.25">
      <c r="B272" s="47" t="s">
        <v>20</v>
      </c>
      <c r="C272" s="48">
        <v>315</v>
      </c>
      <c r="D272" s="49">
        <v>44032</v>
      </c>
      <c r="E272" s="50">
        <v>871.58122934999994</v>
      </c>
      <c r="F272" s="51">
        <v>1450</v>
      </c>
      <c r="G272" s="52" t="s">
        <v>20</v>
      </c>
      <c r="H272" s="53"/>
      <c r="I272" s="53"/>
      <c r="J272" s="54"/>
      <c r="K272" s="54"/>
      <c r="L272" s="55"/>
      <c r="M272" s="54"/>
      <c r="N272" s="47"/>
      <c r="O272" s="56"/>
      <c r="P272" s="47"/>
      <c r="Q272" s="56"/>
      <c r="R272" s="57"/>
      <c r="S272" s="192">
        <f>E272*F272</f>
        <v>1263792.7825574998</v>
      </c>
      <c r="T272" s="68"/>
    </row>
    <row r="273" spans="2:20" ht="15" x14ac:dyDescent="0.25">
      <c r="B273" s="47" t="s">
        <v>20</v>
      </c>
      <c r="C273" s="48">
        <v>319</v>
      </c>
      <c r="D273" s="49">
        <v>44032</v>
      </c>
      <c r="E273" s="50">
        <v>963.54760361000001</v>
      </c>
      <c r="F273" s="51">
        <v>2151</v>
      </c>
      <c r="G273" s="52" t="s">
        <v>20</v>
      </c>
      <c r="H273" s="53"/>
      <c r="I273" s="53"/>
      <c r="J273" s="54"/>
      <c r="K273" s="54"/>
      <c r="L273" s="55"/>
      <c r="M273" s="54"/>
      <c r="N273" s="47"/>
      <c r="O273" s="56"/>
      <c r="P273" s="47"/>
      <c r="Q273" s="56"/>
      <c r="R273" s="57"/>
      <c r="S273" s="192">
        <f t="shared" ref="S273:S274" si="30">E273*F273</f>
        <v>2072590.8953651101</v>
      </c>
      <c r="T273" s="68"/>
    </row>
    <row r="274" spans="2:20" ht="15" x14ac:dyDescent="0.25">
      <c r="B274" s="47" t="s">
        <v>20</v>
      </c>
      <c r="C274" s="48">
        <v>322</v>
      </c>
      <c r="D274" s="49">
        <v>44032</v>
      </c>
      <c r="E274" s="50">
        <v>1000</v>
      </c>
      <c r="F274" s="51">
        <v>1774</v>
      </c>
      <c r="G274" s="52" t="s">
        <v>20</v>
      </c>
      <c r="H274" s="53"/>
      <c r="I274" s="53"/>
      <c r="J274" s="54"/>
      <c r="K274" s="54"/>
      <c r="L274" s="55"/>
      <c r="M274" s="54"/>
      <c r="N274" s="47"/>
      <c r="O274" s="56"/>
      <c r="P274" s="47"/>
      <c r="Q274" s="56"/>
      <c r="R274" s="57"/>
      <c r="S274" s="192">
        <f t="shared" si="30"/>
        <v>1774000</v>
      </c>
      <c r="T274" s="68"/>
    </row>
    <row r="275" spans="2:20" ht="15" x14ac:dyDescent="0.25">
      <c r="B275" s="47" t="s">
        <v>20</v>
      </c>
      <c r="C275" s="48" t="s">
        <v>21</v>
      </c>
      <c r="D275" s="49"/>
      <c r="E275" s="50"/>
      <c r="F275" s="51"/>
      <c r="G275" s="52" t="s">
        <v>22</v>
      </c>
      <c r="H275" s="53"/>
      <c r="I275" s="53"/>
      <c r="J275" s="54"/>
      <c r="K275" s="54"/>
      <c r="L275" s="55"/>
      <c r="M275" s="54"/>
      <c r="N275" s="47"/>
      <c r="O275" s="56"/>
      <c r="P275" s="47"/>
      <c r="Q275" s="56"/>
      <c r="R275" s="57"/>
      <c r="S275" s="192">
        <f>SUM(S272:S274)</f>
        <v>5110383.6779226102</v>
      </c>
      <c r="T275" s="68"/>
    </row>
    <row r="276" spans="2:20" ht="12" customHeight="1" x14ac:dyDescent="0.25">
      <c r="B276" s="150" t="s">
        <v>23</v>
      </c>
      <c r="C276" s="17"/>
      <c r="D276" s="61"/>
      <c r="E276" s="17"/>
      <c r="F276" s="17"/>
      <c r="G276" s="17" t="s">
        <v>24</v>
      </c>
      <c r="H276" s="17" t="s">
        <v>25</v>
      </c>
      <c r="I276" s="17" t="s">
        <v>26</v>
      </c>
      <c r="J276" s="62">
        <v>341</v>
      </c>
      <c r="K276" s="62" t="s">
        <v>27</v>
      </c>
      <c r="L276" s="63" t="s">
        <v>28</v>
      </c>
      <c r="M276" s="62" t="s">
        <v>29</v>
      </c>
      <c r="N276" s="60">
        <f>S275*0.5%</f>
        <v>25551.918389613053</v>
      </c>
      <c r="O276" s="65">
        <v>0.1115</v>
      </c>
      <c r="P276" s="60">
        <f>N276/(1-O276)</f>
        <v>28758.490027701806</v>
      </c>
      <c r="Q276" s="65">
        <v>6.1499999999999999E-2</v>
      </c>
      <c r="R276" s="66">
        <f>Q276*P276</f>
        <v>1768.6471367036611</v>
      </c>
      <c r="S276" s="193">
        <f>P276*(1-Q276)</f>
        <v>26989.842890998145</v>
      </c>
      <c r="T276" s="67" t="s">
        <v>77</v>
      </c>
    </row>
    <row r="277" spans="2:20" ht="12" customHeight="1" x14ac:dyDescent="0.25">
      <c r="B277" s="68" t="s">
        <v>23</v>
      </c>
      <c r="C277" s="69"/>
      <c r="D277" s="49"/>
      <c r="E277" s="69"/>
      <c r="F277" s="69"/>
      <c r="G277" s="69" t="s">
        <v>30</v>
      </c>
      <c r="H277" s="69" t="s">
        <v>25</v>
      </c>
      <c r="I277" s="69" t="s">
        <v>26</v>
      </c>
      <c r="J277" s="210">
        <v>341</v>
      </c>
      <c r="K277" s="210" t="s">
        <v>27</v>
      </c>
      <c r="L277" s="71" t="s">
        <v>28</v>
      </c>
      <c r="M277" s="210" t="s">
        <v>29</v>
      </c>
      <c r="N277" s="68">
        <f>S275*2%</f>
        <v>102207.67355845221</v>
      </c>
      <c r="O277" s="73">
        <v>0.1115</v>
      </c>
      <c r="P277" s="68">
        <f>(N277/(1-O277))-P279</f>
        <v>102258.0009160007</v>
      </c>
      <c r="Q277" s="73">
        <v>6.1499999999999999E-2</v>
      </c>
      <c r="R277" s="74">
        <f>Q277*P277</f>
        <v>6288.8670563340429</v>
      </c>
      <c r="S277" s="194">
        <f>P277*(1-Q277)</f>
        <v>95969.133859666661</v>
      </c>
      <c r="T277" s="152" t="s">
        <v>72</v>
      </c>
    </row>
    <row r="278" spans="2:20" ht="12" customHeight="1" x14ac:dyDescent="0.25">
      <c r="B278" s="150" t="s">
        <v>23</v>
      </c>
      <c r="C278" s="17"/>
      <c r="D278" s="61"/>
      <c r="E278" s="17"/>
      <c r="F278" s="17"/>
      <c r="G278" s="17" t="s">
        <v>83</v>
      </c>
      <c r="H278" s="17" t="s">
        <v>25</v>
      </c>
      <c r="I278" s="17" t="s">
        <v>26</v>
      </c>
      <c r="J278" s="62">
        <v>341</v>
      </c>
      <c r="K278" s="62" t="s">
        <v>27</v>
      </c>
      <c r="L278" s="63" t="s">
        <v>28</v>
      </c>
      <c r="M278" s="62" t="s">
        <v>29</v>
      </c>
      <c r="N278" s="60">
        <f>S275*0.9%</f>
        <v>45993.453101303494</v>
      </c>
      <c r="O278" s="65">
        <v>0.1115</v>
      </c>
      <c r="P278" s="60">
        <f>N278/(1-O278)</f>
        <v>51765.28204986325</v>
      </c>
      <c r="Q278" s="65">
        <v>6.1499999999999999E-2</v>
      </c>
      <c r="R278" s="66">
        <f>Q278*P278</f>
        <v>3183.5648460665898</v>
      </c>
      <c r="S278" s="193">
        <f>P278*(1-Q278)</f>
        <v>48581.717203796659</v>
      </c>
      <c r="T278" s="67" t="s">
        <v>78</v>
      </c>
    </row>
    <row r="279" spans="2:20" ht="12" customHeight="1" x14ac:dyDescent="0.25">
      <c r="B279" s="68" t="s">
        <v>113</v>
      </c>
      <c r="C279" s="69"/>
      <c r="D279" s="49"/>
      <c r="E279" s="69"/>
      <c r="F279" s="69"/>
      <c r="G279" s="69" t="s">
        <v>102</v>
      </c>
      <c r="H279" s="69" t="s">
        <v>103</v>
      </c>
      <c r="I279" s="69" t="s">
        <v>104</v>
      </c>
      <c r="J279" s="210">
        <v>77</v>
      </c>
      <c r="K279" s="210" t="s">
        <v>105</v>
      </c>
      <c r="L279" s="71" t="s">
        <v>106</v>
      </c>
      <c r="M279" s="210">
        <v>40760111</v>
      </c>
      <c r="N279" s="68"/>
      <c r="O279" s="73"/>
      <c r="P279" s="68">
        <f>S275*0.25%</f>
        <v>12775.959194806526</v>
      </c>
      <c r="Q279" s="73">
        <v>6.1499999999999999E-2</v>
      </c>
      <c r="R279" s="74">
        <f>Q279*P279</f>
        <v>785.72149048060135</v>
      </c>
      <c r="S279" s="194">
        <f>P279*(1-Q279)</f>
        <v>11990.237704325926</v>
      </c>
      <c r="T279" s="152" t="s">
        <v>107</v>
      </c>
    </row>
    <row r="280" spans="2:20" ht="12" customHeight="1" x14ac:dyDescent="0.2">
      <c r="G280" s="121" t="s">
        <v>51</v>
      </c>
      <c r="H280" s="121"/>
      <c r="I280" s="121"/>
      <c r="J280" s="266"/>
      <c r="K280" s="266"/>
      <c r="L280" s="266"/>
      <c r="M280" s="266"/>
      <c r="N280" s="122"/>
      <c r="O280" s="123"/>
      <c r="P280" s="122"/>
      <c r="Q280" s="123"/>
      <c r="R280" s="124"/>
      <c r="S280" s="195">
        <f>SUM(S281:S282)</f>
        <v>12026.800529584894</v>
      </c>
    </row>
    <row r="281" spans="2:20" ht="12" customHeight="1" x14ac:dyDescent="0.2">
      <c r="B281" s="210" t="s">
        <v>52</v>
      </c>
      <c r="C281" s="69"/>
      <c r="D281" s="125"/>
      <c r="E281" s="69"/>
      <c r="F281" s="69"/>
      <c r="G281" s="126" t="s">
        <v>53</v>
      </c>
      <c r="H281" s="69" t="s">
        <v>25</v>
      </c>
      <c r="I281" s="69" t="s">
        <v>26</v>
      </c>
      <c r="J281" s="267"/>
      <c r="K281" s="267"/>
      <c r="L281" s="267"/>
      <c r="M281" s="267"/>
      <c r="N281" s="68"/>
      <c r="O281" s="73"/>
      <c r="P281" s="127"/>
      <c r="Q281" s="73"/>
      <c r="R281" s="74"/>
      <c r="S281" s="194">
        <f>SUM(R276:R278)</f>
        <v>11241.079039104294</v>
      </c>
      <c r="T281" s="68"/>
    </row>
    <row r="282" spans="2:20" ht="12" customHeight="1" x14ac:dyDescent="0.2">
      <c r="B282" s="62" t="s">
        <v>52</v>
      </c>
      <c r="C282" s="17"/>
      <c r="D282" s="138"/>
      <c r="E282" s="17"/>
      <c r="F282" s="17"/>
      <c r="G282" s="139" t="s">
        <v>108</v>
      </c>
      <c r="H282" s="17" t="s">
        <v>103</v>
      </c>
      <c r="I282" s="17" t="s">
        <v>104</v>
      </c>
      <c r="J282" s="212"/>
      <c r="K282" s="212"/>
      <c r="L282" s="212"/>
      <c r="M282" s="212"/>
      <c r="N282" s="60"/>
      <c r="O282" s="65"/>
      <c r="P282" s="140"/>
      <c r="Q282" s="65"/>
      <c r="R282" s="137"/>
      <c r="S282" s="193">
        <f>SUM(R279)</f>
        <v>785.72149048060135</v>
      </c>
      <c r="T282" s="60"/>
    </row>
    <row r="283" spans="2:20" ht="12" customHeight="1" x14ac:dyDescent="0.2">
      <c r="B283" s="210" t="s">
        <v>23</v>
      </c>
      <c r="C283" s="69"/>
      <c r="D283" s="125"/>
      <c r="E283" s="69"/>
      <c r="F283" s="69"/>
      <c r="G283" s="69" t="s">
        <v>110</v>
      </c>
      <c r="H283" s="69" t="s">
        <v>46</v>
      </c>
      <c r="I283" s="69" t="s">
        <v>47</v>
      </c>
      <c r="J283" s="211">
        <v>341</v>
      </c>
      <c r="K283" s="211" t="s">
        <v>27</v>
      </c>
      <c r="L283" s="211" t="s">
        <v>76</v>
      </c>
      <c r="M283" s="211" t="s">
        <v>81</v>
      </c>
      <c r="N283" s="68"/>
      <c r="O283" s="73"/>
      <c r="P283" s="127"/>
      <c r="Q283" s="73"/>
      <c r="R283" s="74"/>
      <c r="S283" s="194">
        <f>S275-SUM(S276:S280)-S284</f>
        <v>2569825.9721817784</v>
      </c>
      <c r="T283" s="68"/>
    </row>
    <row r="284" spans="2:20" ht="12" customHeight="1" x14ac:dyDescent="0.2">
      <c r="B284" s="62" t="s">
        <v>23</v>
      </c>
      <c r="C284" s="17"/>
      <c r="D284" s="138"/>
      <c r="E284" s="17"/>
      <c r="F284" s="17"/>
      <c r="G284" s="17" t="s">
        <v>75</v>
      </c>
      <c r="H284" s="17" t="s">
        <v>46</v>
      </c>
      <c r="I284" s="17" t="s">
        <v>47</v>
      </c>
      <c r="J284" s="213">
        <v>341</v>
      </c>
      <c r="K284" s="213" t="s">
        <v>27</v>
      </c>
      <c r="L284" s="213" t="s">
        <v>76</v>
      </c>
      <c r="M284" s="213" t="s">
        <v>81</v>
      </c>
      <c r="N284" s="67"/>
      <c r="O284" s="65"/>
      <c r="P284" s="140"/>
      <c r="Q284" s="65"/>
      <c r="R284" s="137"/>
      <c r="S284" s="193">
        <v>2344999.9735524599</v>
      </c>
      <c r="T284" s="60"/>
    </row>
    <row r="285" spans="2:20" ht="12" customHeight="1" x14ac:dyDescent="0.2">
      <c r="B285" s="141" t="s">
        <v>21</v>
      </c>
      <c r="C285" s="142"/>
      <c r="D285" s="143"/>
      <c r="E285" s="142"/>
      <c r="F285" s="142"/>
      <c r="G285" s="144"/>
      <c r="H285" s="144"/>
      <c r="I285" s="144"/>
      <c r="J285" s="143"/>
      <c r="K285" s="143"/>
      <c r="L285" s="145"/>
      <c r="M285" s="145"/>
      <c r="N285" s="143"/>
      <c r="O285" s="143"/>
      <c r="P285" s="143"/>
      <c r="Q285" s="143"/>
      <c r="R285" s="74"/>
      <c r="S285" s="197">
        <f>S275-SUM(S276:S280,S283:S284)</f>
        <v>0</v>
      </c>
      <c r="T285" s="68"/>
    </row>
    <row r="286" spans="2:20" ht="12" customHeight="1" x14ac:dyDescent="0.2">
      <c r="B286" s="155"/>
      <c r="C286" s="156"/>
      <c r="D286" s="157"/>
      <c r="E286" s="156"/>
      <c r="F286" s="156"/>
      <c r="G286" s="158"/>
      <c r="H286" s="158"/>
      <c r="I286" s="158"/>
      <c r="J286" s="157"/>
      <c r="K286" s="157"/>
      <c r="L286" s="159"/>
      <c r="M286" s="159"/>
      <c r="N286" s="157"/>
      <c r="O286" s="157"/>
      <c r="P286" s="157"/>
      <c r="Q286" s="157"/>
      <c r="R286" s="160"/>
      <c r="S286" s="161"/>
      <c r="T286" s="162"/>
    </row>
    <row r="287" spans="2:20" ht="15" x14ac:dyDescent="0.2">
      <c r="B287" s="141" t="s">
        <v>21</v>
      </c>
      <c r="C287" s="142"/>
      <c r="D287" s="143"/>
      <c r="E287" s="142"/>
      <c r="F287" s="142"/>
      <c r="G287" s="144"/>
      <c r="H287" s="144"/>
      <c r="I287" s="144"/>
      <c r="J287" s="143"/>
      <c r="K287" s="143"/>
      <c r="L287" s="145"/>
      <c r="M287" s="145"/>
      <c r="N287" s="143"/>
      <c r="O287" s="143"/>
      <c r="P287" s="143"/>
      <c r="Q287" s="143"/>
      <c r="R287" s="74"/>
      <c r="S287" s="192"/>
      <c r="T287" s="68"/>
    </row>
    <row r="288" spans="2:20" ht="15" x14ac:dyDescent="0.25">
      <c r="B288" s="47" t="s">
        <v>20</v>
      </c>
      <c r="C288" s="48">
        <v>314</v>
      </c>
      <c r="D288" s="49">
        <v>44034</v>
      </c>
      <c r="E288" s="50">
        <v>927.86645670999997</v>
      </c>
      <c r="F288" s="51">
        <v>1200</v>
      </c>
      <c r="G288" s="52" t="s">
        <v>20</v>
      </c>
      <c r="H288" s="53"/>
      <c r="I288" s="53"/>
      <c r="J288" s="54"/>
      <c r="K288" s="54"/>
      <c r="L288" s="55"/>
      <c r="M288" s="54"/>
      <c r="N288" s="47"/>
      <c r="O288" s="56"/>
      <c r="P288" s="47"/>
      <c r="Q288" s="56"/>
      <c r="R288" s="57"/>
      <c r="S288" s="192">
        <f>E288*F288</f>
        <v>1113439.7480520001</v>
      </c>
      <c r="T288" s="68"/>
    </row>
    <row r="289" spans="2:20" ht="15" x14ac:dyDescent="0.25">
      <c r="B289" s="47" t="s">
        <v>20</v>
      </c>
      <c r="C289" s="48">
        <v>315</v>
      </c>
      <c r="D289" s="49">
        <v>44034</v>
      </c>
      <c r="E289" s="50">
        <v>872.70025150000004</v>
      </c>
      <c r="F289" s="51">
        <v>430</v>
      </c>
      <c r="G289" s="52" t="s">
        <v>20</v>
      </c>
      <c r="H289" s="53"/>
      <c r="I289" s="53"/>
      <c r="J289" s="54"/>
      <c r="K289" s="54"/>
      <c r="L289" s="55"/>
      <c r="M289" s="54"/>
      <c r="N289" s="47"/>
      <c r="O289" s="56"/>
      <c r="P289" s="47"/>
      <c r="Q289" s="56"/>
      <c r="R289" s="57"/>
      <c r="S289" s="192">
        <f t="shared" ref="S289:S293" si="31">E289*F289</f>
        <v>375261.10814500001</v>
      </c>
      <c r="T289" s="68"/>
    </row>
    <row r="290" spans="2:20" ht="15" x14ac:dyDescent="0.25">
      <c r="B290" s="47" t="s">
        <v>20</v>
      </c>
      <c r="C290" s="48">
        <v>318</v>
      </c>
      <c r="D290" s="49">
        <v>44034</v>
      </c>
      <c r="E290" s="50">
        <v>1000</v>
      </c>
      <c r="F290" s="51">
        <v>4047</v>
      </c>
      <c r="G290" s="52" t="s">
        <v>20</v>
      </c>
      <c r="H290" s="53"/>
      <c r="I290" s="53"/>
      <c r="J290" s="54"/>
      <c r="K290" s="54"/>
      <c r="L290" s="55"/>
      <c r="M290" s="54"/>
      <c r="N290" s="47"/>
      <c r="O290" s="56"/>
      <c r="P290" s="47"/>
      <c r="Q290" s="56"/>
      <c r="R290" s="57"/>
      <c r="S290" s="192">
        <f t="shared" si="31"/>
        <v>4047000</v>
      </c>
      <c r="T290" s="68"/>
    </row>
    <row r="291" spans="2:20" ht="15" x14ac:dyDescent="0.25">
      <c r="B291" s="47" t="s">
        <v>20</v>
      </c>
      <c r="C291" s="48">
        <v>322</v>
      </c>
      <c r="D291" s="49">
        <v>44034</v>
      </c>
      <c r="E291" s="50">
        <v>1001.68079847</v>
      </c>
      <c r="F291" s="51">
        <v>1726</v>
      </c>
      <c r="G291" s="52" t="s">
        <v>20</v>
      </c>
      <c r="H291" s="53"/>
      <c r="I291" s="53"/>
      <c r="J291" s="54"/>
      <c r="K291" s="54"/>
      <c r="L291" s="55"/>
      <c r="M291" s="54"/>
      <c r="N291" s="47"/>
      <c r="O291" s="56"/>
      <c r="P291" s="47"/>
      <c r="Q291" s="56"/>
      <c r="R291" s="57"/>
      <c r="S291" s="192">
        <f t="shared" si="31"/>
        <v>1728901.05815922</v>
      </c>
      <c r="T291" s="68"/>
    </row>
    <row r="292" spans="2:20" ht="15" x14ac:dyDescent="0.25">
      <c r="B292" s="47" t="s">
        <v>20</v>
      </c>
      <c r="C292" s="48">
        <v>325</v>
      </c>
      <c r="D292" s="49">
        <v>44034</v>
      </c>
      <c r="E292" s="50">
        <v>1000</v>
      </c>
      <c r="F292" s="51">
        <v>4250</v>
      </c>
      <c r="G292" s="52" t="s">
        <v>20</v>
      </c>
      <c r="H292" s="53"/>
      <c r="I292" s="53"/>
      <c r="J292" s="54"/>
      <c r="K292" s="54"/>
      <c r="L292" s="55"/>
      <c r="M292" s="54"/>
      <c r="N292" s="47"/>
      <c r="O292" s="56"/>
      <c r="P292" s="47"/>
      <c r="Q292" s="56"/>
      <c r="R292" s="57"/>
      <c r="S292" s="192">
        <f t="shared" si="31"/>
        <v>4250000</v>
      </c>
      <c r="T292" s="68"/>
    </row>
    <row r="293" spans="2:20" ht="15" x14ac:dyDescent="0.25">
      <c r="B293" s="47" t="s">
        <v>20</v>
      </c>
      <c r="C293" s="48">
        <v>328</v>
      </c>
      <c r="D293" s="49">
        <v>44034</v>
      </c>
      <c r="E293" s="50">
        <v>1000</v>
      </c>
      <c r="F293" s="51">
        <v>527</v>
      </c>
      <c r="G293" s="52" t="s">
        <v>20</v>
      </c>
      <c r="H293" s="53"/>
      <c r="I293" s="53"/>
      <c r="J293" s="54"/>
      <c r="K293" s="54"/>
      <c r="L293" s="55"/>
      <c r="M293" s="54"/>
      <c r="N293" s="47"/>
      <c r="O293" s="56"/>
      <c r="P293" s="47"/>
      <c r="Q293" s="56"/>
      <c r="R293" s="57"/>
      <c r="S293" s="192">
        <f t="shared" si="31"/>
        <v>527000</v>
      </c>
      <c r="T293" s="68"/>
    </row>
    <row r="294" spans="2:20" ht="15" x14ac:dyDescent="0.25">
      <c r="B294" s="47" t="s">
        <v>20</v>
      </c>
      <c r="C294" s="48" t="s">
        <v>21</v>
      </c>
      <c r="D294" s="49"/>
      <c r="E294" s="50"/>
      <c r="F294" s="51"/>
      <c r="G294" s="52" t="s">
        <v>22</v>
      </c>
      <c r="H294" s="53"/>
      <c r="I294" s="53"/>
      <c r="J294" s="54"/>
      <c r="K294" s="54"/>
      <c r="L294" s="55"/>
      <c r="M294" s="54"/>
      <c r="N294" s="47"/>
      <c r="O294" s="56"/>
      <c r="P294" s="47"/>
      <c r="Q294" s="56"/>
      <c r="R294" s="57"/>
      <c r="S294" s="192">
        <f>SUM(S288:S293)</f>
        <v>12041601.914356221</v>
      </c>
      <c r="T294" s="68"/>
    </row>
    <row r="295" spans="2:20" ht="12" customHeight="1" x14ac:dyDescent="0.25">
      <c r="B295" s="150" t="s">
        <v>23</v>
      </c>
      <c r="C295" s="17"/>
      <c r="D295" s="61"/>
      <c r="E295" s="17"/>
      <c r="F295" s="17"/>
      <c r="G295" s="17" t="s">
        <v>24</v>
      </c>
      <c r="H295" s="17" t="s">
        <v>25</v>
      </c>
      <c r="I295" s="17" t="s">
        <v>26</v>
      </c>
      <c r="J295" s="62">
        <v>341</v>
      </c>
      <c r="K295" s="62" t="s">
        <v>27</v>
      </c>
      <c r="L295" s="63" t="s">
        <v>28</v>
      </c>
      <c r="M295" s="62" t="s">
        <v>29</v>
      </c>
      <c r="N295" s="60">
        <f>S294*0.5%</f>
        <v>60208.009571781105</v>
      </c>
      <c r="O295" s="65">
        <v>0.1115</v>
      </c>
      <c r="P295" s="60">
        <f>N295/(1-O295)</f>
        <v>67763.657368352404</v>
      </c>
      <c r="Q295" s="65">
        <v>6.1499999999999999E-2</v>
      </c>
      <c r="R295" s="66">
        <f>Q295*P295</f>
        <v>4167.4649281536731</v>
      </c>
      <c r="S295" s="193">
        <f>P295*(1-Q295)</f>
        <v>63596.192440198734</v>
      </c>
      <c r="T295" s="67" t="s">
        <v>77</v>
      </c>
    </row>
    <row r="296" spans="2:20" ht="12" customHeight="1" x14ac:dyDescent="0.25">
      <c r="B296" s="68" t="s">
        <v>23</v>
      </c>
      <c r="C296" s="69"/>
      <c r="D296" s="49"/>
      <c r="E296" s="69"/>
      <c r="F296" s="69"/>
      <c r="G296" s="69" t="s">
        <v>30</v>
      </c>
      <c r="H296" s="69" t="s">
        <v>25</v>
      </c>
      <c r="I296" s="69" t="s">
        <v>26</v>
      </c>
      <c r="J296" s="215">
        <v>341</v>
      </c>
      <c r="K296" s="215" t="s">
        <v>27</v>
      </c>
      <c r="L296" s="71" t="s">
        <v>28</v>
      </c>
      <c r="M296" s="215" t="s">
        <v>29</v>
      </c>
      <c r="N296" s="68">
        <f>S294*2%</f>
        <v>240832.03828712442</v>
      </c>
      <c r="O296" s="73">
        <v>0.1115</v>
      </c>
      <c r="P296" s="68">
        <f>(N296/(1-O296))-P298</f>
        <v>240950.62468751907</v>
      </c>
      <c r="Q296" s="73">
        <v>6.1499999999999999E-2</v>
      </c>
      <c r="R296" s="74">
        <f>Q296*P296</f>
        <v>14818.463418282423</v>
      </c>
      <c r="S296" s="194">
        <f>P296*(1-Q296)</f>
        <v>226132.16126923665</v>
      </c>
      <c r="T296" s="152" t="s">
        <v>72</v>
      </c>
    </row>
    <row r="297" spans="2:20" ht="12" customHeight="1" x14ac:dyDescent="0.25">
      <c r="B297" s="150" t="s">
        <v>23</v>
      </c>
      <c r="C297" s="17"/>
      <c r="D297" s="61"/>
      <c r="E297" s="17"/>
      <c r="F297" s="17"/>
      <c r="G297" s="17" t="s">
        <v>83</v>
      </c>
      <c r="H297" s="17" t="s">
        <v>25</v>
      </c>
      <c r="I297" s="17" t="s">
        <v>26</v>
      </c>
      <c r="J297" s="62">
        <v>341</v>
      </c>
      <c r="K297" s="62" t="s">
        <v>27</v>
      </c>
      <c r="L297" s="63" t="s">
        <v>28</v>
      </c>
      <c r="M297" s="62" t="s">
        <v>29</v>
      </c>
      <c r="N297" s="60">
        <f>S294*0.9%</f>
        <v>108374.417229206</v>
      </c>
      <c r="O297" s="65">
        <v>0.1115</v>
      </c>
      <c r="P297" s="60">
        <f>N297/(1-O297)</f>
        <v>121974.58326303434</v>
      </c>
      <c r="Q297" s="65">
        <v>6.1499999999999999E-2</v>
      </c>
      <c r="R297" s="66">
        <f>Q297*P297</f>
        <v>7501.4368706766118</v>
      </c>
      <c r="S297" s="193">
        <f>P297*(1-Q297)</f>
        <v>114473.14639235772</v>
      </c>
      <c r="T297" s="67" t="s">
        <v>78</v>
      </c>
    </row>
    <row r="298" spans="2:20" ht="12" customHeight="1" x14ac:dyDescent="0.25">
      <c r="B298" s="68" t="s">
        <v>113</v>
      </c>
      <c r="C298" s="69"/>
      <c r="D298" s="49"/>
      <c r="E298" s="69"/>
      <c r="F298" s="69"/>
      <c r="G298" s="69" t="s">
        <v>102</v>
      </c>
      <c r="H298" s="69" t="s">
        <v>103</v>
      </c>
      <c r="I298" s="69" t="s">
        <v>104</v>
      </c>
      <c r="J298" s="215">
        <v>77</v>
      </c>
      <c r="K298" s="215" t="s">
        <v>105</v>
      </c>
      <c r="L298" s="71" t="s">
        <v>106</v>
      </c>
      <c r="M298" s="215">
        <v>40760111</v>
      </c>
      <c r="N298" s="68"/>
      <c r="O298" s="73"/>
      <c r="P298" s="68">
        <f>S294*0.25%</f>
        <v>30104.004785890553</v>
      </c>
      <c r="Q298" s="73">
        <v>6.1499999999999999E-2</v>
      </c>
      <c r="R298" s="74">
        <f>Q298*P298</f>
        <v>1851.396294332269</v>
      </c>
      <c r="S298" s="194">
        <f>P298*(1-Q298)</f>
        <v>28252.608491558283</v>
      </c>
      <c r="T298" s="152" t="s">
        <v>107</v>
      </c>
    </row>
    <row r="299" spans="2:20" ht="12" customHeight="1" x14ac:dyDescent="0.2">
      <c r="G299" s="121" t="s">
        <v>51</v>
      </c>
      <c r="H299" s="121"/>
      <c r="I299" s="121"/>
      <c r="J299" s="266"/>
      <c r="K299" s="266"/>
      <c r="L299" s="266"/>
      <c r="M299" s="266"/>
      <c r="N299" s="122"/>
      <c r="O299" s="123"/>
      <c r="P299" s="122"/>
      <c r="Q299" s="123"/>
      <c r="R299" s="124"/>
      <c r="S299" s="195">
        <f>SUM(S300:S301)</f>
        <v>28338.761511444976</v>
      </c>
    </row>
    <row r="300" spans="2:20" ht="12" customHeight="1" x14ac:dyDescent="0.2">
      <c r="B300" s="215" t="s">
        <v>52</v>
      </c>
      <c r="C300" s="69"/>
      <c r="D300" s="125"/>
      <c r="E300" s="69"/>
      <c r="F300" s="69"/>
      <c r="G300" s="126" t="s">
        <v>53</v>
      </c>
      <c r="H300" s="69" t="s">
        <v>25</v>
      </c>
      <c r="I300" s="69" t="s">
        <v>26</v>
      </c>
      <c r="J300" s="267"/>
      <c r="K300" s="267"/>
      <c r="L300" s="267"/>
      <c r="M300" s="267"/>
      <c r="N300" s="68"/>
      <c r="O300" s="73"/>
      <c r="P300" s="127"/>
      <c r="Q300" s="73"/>
      <c r="R300" s="74"/>
      <c r="S300" s="194">
        <f>SUM(R295:R297)</f>
        <v>26487.365217112707</v>
      </c>
      <c r="T300" s="68"/>
    </row>
    <row r="301" spans="2:20" ht="12" customHeight="1" x14ac:dyDescent="0.2">
      <c r="B301" s="62" t="s">
        <v>52</v>
      </c>
      <c r="C301" s="17"/>
      <c r="D301" s="138"/>
      <c r="E301" s="17"/>
      <c r="F301" s="17"/>
      <c r="G301" s="139" t="s">
        <v>108</v>
      </c>
      <c r="H301" s="17" t="s">
        <v>103</v>
      </c>
      <c r="I301" s="17" t="s">
        <v>104</v>
      </c>
      <c r="J301" s="216"/>
      <c r="K301" s="216"/>
      <c r="L301" s="216"/>
      <c r="M301" s="216"/>
      <c r="N301" s="60"/>
      <c r="O301" s="65"/>
      <c r="P301" s="140"/>
      <c r="Q301" s="65"/>
      <c r="R301" s="137"/>
      <c r="S301" s="193">
        <f>SUM(R298)</f>
        <v>1851.396294332269</v>
      </c>
      <c r="T301" s="60"/>
    </row>
    <row r="302" spans="2:20" ht="12" customHeight="1" x14ac:dyDescent="0.2">
      <c r="B302" s="215" t="s">
        <v>23</v>
      </c>
      <c r="C302" s="69"/>
      <c r="D302" s="125"/>
      <c r="E302" s="69"/>
      <c r="F302" s="69"/>
      <c r="G302" s="69" t="s">
        <v>110</v>
      </c>
      <c r="H302" s="69" t="s">
        <v>46</v>
      </c>
      <c r="I302" s="69" t="s">
        <v>47</v>
      </c>
      <c r="J302" s="214">
        <v>341</v>
      </c>
      <c r="K302" s="214" t="s">
        <v>27</v>
      </c>
      <c r="L302" s="214" t="s">
        <v>76</v>
      </c>
      <c r="M302" s="214" t="s">
        <v>81</v>
      </c>
      <c r="N302" s="68"/>
      <c r="O302" s="73"/>
      <c r="P302" s="127"/>
      <c r="Q302" s="73"/>
      <c r="R302" s="74"/>
      <c r="S302" s="194">
        <f>S294-SUM(S295:S299)-S303</f>
        <v>11056216.010256203</v>
      </c>
      <c r="T302" s="68"/>
    </row>
    <row r="303" spans="2:20" ht="12" customHeight="1" x14ac:dyDescent="0.2">
      <c r="B303" s="62" t="s">
        <v>23</v>
      </c>
      <c r="C303" s="17"/>
      <c r="D303" s="138"/>
      <c r="E303" s="17"/>
      <c r="F303" s="17"/>
      <c r="G303" s="17" t="s">
        <v>75</v>
      </c>
      <c r="H303" s="17" t="s">
        <v>46</v>
      </c>
      <c r="I303" s="17" t="s">
        <v>47</v>
      </c>
      <c r="J303" s="213">
        <v>341</v>
      </c>
      <c r="K303" s="213" t="s">
        <v>27</v>
      </c>
      <c r="L303" s="213" t="s">
        <v>76</v>
      </c>
      <c r="M303" s="213" t="s">
        <v>81</v>
      </c>
      <c r="N303" s="67"/>
      <c r="O303" s="65"/>
      <c r="P303" s="140"/>
      <c r="Q303" s="65"/>
      <c r="R303" s="137"/>
      <c r="S303" s="193">
        <v>524593.03399521997</v>
      </c>
      <c r="T303" s="60"/>
    </row>
    <row r="304" spans="2:20" ht="12" customHeight="1" x14ac:dyDescent="0.2">
      <c r="B304" s="141" t="s">
        <v>21</v>
      </c>
      <c r="C304" s="142"/>
      <c r="D304" s="143"/>
      <c r="E304" s="142"/>
      <c r="F304" s="142"/>
      <c r="G304" s="144"/>
      <c r="H304" s="144"/>
      <c r="I304" s="144"/>
      <c r="J304" s="143"/>
      <c r="K304" s="143"/>
      <c r="L304" s="145"/>
      <c r="M304" s="145"/>
      <c r="N304" s="143"/>
      <c r="O304" s="143"/>
      <c r="P304" s="143"/>
      <c r="Q304" s="143"/>
      <c r="R304" s="74"/>
      <c r="S304" s="197">
        <f>S294-SUM(S295:S299,S302:S303)</f>
        <v>0</v>
      </c>
      <c r="T304" s="68"/>
    </row>
    <row r="305" spans="2:20" ht="12" customHeight="1" x14ac:dyDescent="0.2">
      <c r="B305" s="155"/>
      <c r="C305" s="156"/>
      <c r="D305" s="157"/>
      <c r="E305" s="156"/>
      <c r="F305" s="156"/>
      <c r="G305" s="158"/>
      <c r="H305" s="158"/>
      <c r="I305" s="158"/>
      <c r="J305" s="157"/>
      <c r="K305" s="157"/>
      <c r="L305" s="159"/>
      <c r="M305" s="159"/>
      <c r="N305" s="157"/>
      <c r="O305" s="157"/>
      <c r="P305" s="157"/>
      <c r="Q305" s="157"/>
      <c r="R305" s="160"/>
      <c r="S305" s="161"/>
      <c r="T305" s="162"/>
    </row>
    <row r="306" spans="2:20" ht="15" x14ac:dyDescent="0.2">
      <c r="B306" s="141" t="s">
        <v>21</v>
      </c>
      <c r="C306" s="142"/>
      <c r="D306" s="143"/>
      <c r="E306" s="142"/>
      <c r="F306" s="142"/>
      <c r="G306" s="144"/>
      <c r="H306" s="144"/>
      <c r="I306" s="144"/>
      <c r="J306" s="143"/>
      <c r="K306" s="143"/>
      <c r="L306" s="145"/>
      <c r="M306" s="145"/>
      <c r="N306" s="143"/>
      <c r="O306" s="143"/>
      <c r="P306" s="143"/>
      <c r="Q306" s="143"/>
      <c r="R306" s="74"/>
      <c r="S306" s="192"/>
      <c r="T306" s="68"/>
    </row>
    <row r="307" spans="2:20" ht="15" x14ac:dyDescent="0.25">
      <c r="B307" s="47" t="s">
        <v>20</v>
      </c>
      <c r="C307" s="48">
        <v>314</v>
      </c>
      <c r="D307" s="49">
        <v>44039</v>
      </c>
      <c r="E307" s="50">
        <v>929.18412061000004</v>
      </c>
      <c r="F307" s="51">
        <v>5200</v>
      </c>
      <c r="G307" s="52" t="s">
        <v>20</v>
      </c>
      <c r="H307" s="53"/>
      <c r="I307" s="53"/>
      <c r="J307" s="54"/>
      <c r="K307" s="54"/>
      <c r="L307" s="55"/>
      <c r="M307" s="54"/>
      <c r="N307" s="47"/>
      <c r="O307" s="56"/>
      <c r="P307" s="47"/>
      <c r="Q307" s="56"/>
      <c r="R307" s="57"/>
      <c r="S307" s="192">
        <f>E307*F307</f>
        <v>4831757.4271720005</v>
      </c>
      <c r="T307" s="68"/>
    </row>
    <row r="308" spans="2:20" ht="15" x14ac:dyDescent="0.25">
      <c r="B308" s="47" t="s">
        <v>20</v>
      </c>
      <c r="C308" s="48">
        <v>318</v>
      </c>
      <c r="D308" s="49">
        <v>44039</v>
      </c>
      <c r="E308" s="50">
        <v>1001.9264676400001</v>
      </c>
      <c r="F308" s="51">
        <v>553</v>
      </c>
      <c r="G308" s="52" t="s">
        <v>20</v>
      </c>
      <c r="H308" s="53"/>
      <c r="I308" s="53"/>
      <c r="J308" s="54"/>
      <c r="K308" s="54"/>
      <c r="L308" s="55"/>
      <c r="M308" s="54"/>
      <c r="N308" s="47"/>
      <c r="O308" s="56"/>
      <c r="P308" s="47"/>
      <c r="Q308" s="56"/>
      <c r="R308" s="57"/>
      <c r="S308" s="192">
        <f>E308*F308</f>
        <v>554065.33660491998</v>
      </c>
      <c r="T308" s="68"/>
    </row>
    <row r="309" spans="2:20" ht="15" x14ac:dyDescent="0.25">
      <c r="B309" s="47" t="s">
        <v>20</v>
      </c>
      <c r="C309" s="48">
        <v>321</v>
      </c>
      <c r="D309" s="49">
        <v>44039</v>
      </c>
      <c r="E309" s="50">
        <v>1000</v>
      </c>
      <c r="F309" s="51">
        <v>2800</v>
      </c>
      <c r="G309" s="52" t="s">
        <v>20</v>
      </c>
      <c r="H309" s="53"/>
      <c r="I309" s="53"/>
      <c r="J309" s="54"/>
      <c r="K309" s="54"/>
      <c r="L309" s="55"/>
      <c r="M309" s="54"/>
      <c r="N309" s="47"/>
      <c r="O309" s="56"/>
      <c r="P309" s="47"/>
      <c r="Q309" s="56"/>
      <c r="R309" s="57"/>
      <c r="S309" s="192">
        <f>E309*F309</f>
        <v>2800000</v>
      </c>
      <c r="T309" s="68"/>
    </row>
    <row r="310" spans="2:20" ht="15" x14ac:dyDescent="0.25">
      <c r="B310" s="47" t="s">
        <v>20</v>
      </c>
      <c r="C310" s="48">
        <v>324</v>
      </c>
      <c r="D310" s="49">
        <v>44039</v>
      </c>
      <c r="E310" s="50">
        <v>1000</v>
      </c>
      <c r="F310" s="51">
        <v>1847</v>
      </c>
      <c r="G310" s="52" t="s">
        <v>20</v>
      </c>
      <c r="H310" s="53"/>
      <c r="I310" s="53"/>
      <c r="J310" s="54"/>
      <c r="K310" s="54"/>
      <c r="L310" s="55"/>
      <c r="M310" s="54"/>
      <c r="N310" s="47"/>
      <c r="O310" s="56"/>
      <c r="P310" s="47"/>
      <c r="Q310" s="56"/>
      <c r="R310" s="57"/>
      <c r="S310" s="192">
        <f>E310*F310</f>
        <v>1847000</v>
      </c>
      <c r="T310" s="68"/>
    </row>
    <row r="311" spans="2:20" ht="15" x14ac:dyDescent="0.25">
      <c r="B311" s="47" t="s">
        <v>20</v>
      </c>
      <c r="C311" s="48">
        <v>328</v>
      </c>
      <c r="D311" s="49">
        <v>44039</v>
      </c>
      <c r="E311" s="50">
        <v>1002.52226939</v>
      </c>
      <c r="F311" s="51">
        <v>5150</v>
      </c>
      <c r="G311" s="52" t="s">
        <v>20</v>
      </c>
      <c r="H311" s="53"/>
      <c r="I311" s="53"/>
      <c r="J311" s="54"/>
      <c r="K311" s="54"/>
      <c r="L311" s="55"/>
      <c r="M311" s="54"/>
      <c r="N311" s="47"/>
      <c r="O311" s="56"/>
      <c r="P311" s="47"/>
      <c r="Q311" s="56"/>
      <c r="R311" s="57"/>
      <c r="S311" s="192">
        <f>E311*F311</f>
        <v>5162989.6873585004</v>
      </c>
      <c r="T311" s="68"/>
    </row>
    <row r="312" spans="2:20" ht="15" x14ac:dyDescent="0.25">
      <c r="B312" s="47" t="s">
        <v>20</v>
      </c>
      <c r="C312" s="48" t="s">
        <v>21</v>
      </c>
      <c r="D312" s="49"/>
      <c r="E312" s="50"/>
      <c r="F312" s="51"/>
      <c r="G312" s="52" t="s">
        <v>22</v>
      </c>
      <c r="H312" s="53"/>
      <c r="I312" s="53"/>
      <c r="J312" s="54"/>
      <c r="K312" s="54"/>
      <c r="L312" s="55"/>
      <c r="M312" s="54"/>
      <c r="N312" s="47"/>
      <c r="O312" s="56"/>
      <c r="P312" s="47"/>
      <c r="Q312" s="56"/>
      <c r="R312" s="57"/>
      <c r="S312" s="192">
        <f>SUM(S307:S311)</f>
        <v>15195812.451135421</v>
      </c>
      <c r="T312" s="68"/>
    </row>
    <row r="313" spans="2:20" ht="12" customHeight="1" x14ac:dyDescent="0.25">
      <c r="B313" s="150" t="s">
        <v>23</v>
      </c>
      <c r="C313" s="17"/>
      <c r="D313" s="61"/>
      <c r="E313" s="17"/>
      <c r="F313" s="17"/>
      <c r="G313" s="17" t="s">
        <v>24</v>
      </c>
      <c r="H313" s="17" t="s">
        <v>25</v>
      </c>
      <c r="I313" s="17" t="s">
        <v>26</v>
      </c>
      <c r="J313" s="62">
        <v>341</v>
      </c>
      <c r="K313" s="62" t="s">
        <v>27</v>
      </c>
      <c r="L313" s="63" t="s">
        <v>28</v>
      </c>
      <c r="M313" s="62" t="s">
        <v>29</v>
      </c>
      <c r="N313" s="60">
        <f>S312*0.5%</f>
        <v>75979.062255677112</v>
      </c>
      <c r="O313" s="65">
        <v>0.1115</v>
      </c>
      <c r="P313" s="60">
        <f>N313/(1-O313)</f>
        <v>85513.857350227481</v>
      </c>
      <c r="Q313" s="65">
        <v>6.1499999999999999E-2</v>
      </c>
      <c r="R313" s="66">
        <f>Q313*P313</f>
        <v>5259.1022270389903</v>
      </c>
      <c r="S313" s="193">
        <f>P313*(1-Q313)</f>
        <v>80254.755123188486</v>
      </c>
      <c r="T313" s="67" t="s">
        <v>77</v>
      </c>
    </row>
    <row r="314" spans="2:20" ht="12" customHeight="1" x14ac:dyDescent="0.25">
      <c r="B314" s="68" t="s">
        <v>23</v>
      </c>
      <c r="C314" s="69"/>
      <c r="D314" s="49"/>
      <c r="E314" s="69"/>
      <c r="F314" s="69"/>
      <c r="G314" s="69" t="s">
        <v>30</v>
      </c>
      <c r="H314" s="69" t="s">
        <v>25</v>
      </c>
      <c r="I314" s="69" t="s">
        <v>26</v>
      </c>
      <c r="J314" s="218">
        <v>341</v>
      </c>
      <c r="K314" s="218" t="s">
        <v>27</v>
      </c>
      <c r="L314" s="71" t="s">
        <v>28</v>
      </c>
      <c r="M314" s="218" t="s">
        <v>29</v>
      </c>
      <c r="N314" s="68">
        <f>S312*2%</f>
        <v>303916.24902270845</v>
      </c>
      <c r="O314" s="73">
        <v>0.1115</v>
      </c>
      <c r="P314" s="68">
        <f>(N314/(1-O314))-P316</f>
        <v>304065.89827307139</v>
      </c>
      <c r="Q314" s="73">
        <v>6.1499999999999999E-2</v>
      </c>
      <c r="R314" s="74">
        <f>Q314*P314</f>
        <v>18700.052743793891</v>
      </c>
      <c r="S314" s="194">
        <f>P314*(1-Q314)</f>
        <v>285365.84552927752</v>
      </c>
      <c r="T314" s="152" t="s">
        <v>72</v>
      </c>
    </row>
    <row r="315" spans="2:20" ht="12" customHeight="1" x14ac:dyDescent="0.25">
      <c r="B315" s="150" t="s">
        <v>23</v>
      </c>
      <c r="C315" s="17"/>
      <c r="D315" s="61"/>
      <c r="E315" s="17"/>
      <c r="F315" s="17"/>
      <c r="G315" s="17" t="s">
        <v>83</v>
      </c>
      <c r="H315" s="17" t="s">
        <v>25</v>
      </c>
      <c r="I315" s="17" t="s">
        <v>26</v>
      </c>
      <c r="J315" s="62">
        <v>341</v>
      </c>
      <c r="K315" s="62" t="s">
        <v>27</v>
      </c>
      <c r="L315" s="63" t="s">
        <v>28</v>
      </c>
      <c r="M315" s="62" t="s">
        <v>29</v>
      </c>
      <c r="N315" s="60">
        <f>S312*0.9%</f>
        <v>136762.3120602188</v>
      </c>
      <c r="O315" s="65">
        <v>0.1115</v>
      </c>
      <c r="P315" s="60">
        <f>N315/(1-O315)</f>
        <v>153924.94323040947</v>
      </c>
      <c r="Q315" s="65">
        <v>6.1499999999999999E-2</v>
      </c>
      <c r="R315" s="66">
        <f>Q315*P315</f>
        <v>9466.3840086701821</v>
      </c>
      <c r="S315" s="193">
        <f>P315*(1-Q315)</f>
        <v>144458.5592217393</v>
      </c>
      <c r="T315" s="67" t="s">
        <v>78</v>
      </c>
    </row>
    <row r="316" spans="2:20" ht="12" customHeight="1" x14ac:dyDescent="0.25">
      <c r="B316" s="68" t="s">
        <v>113</v>
      </c>
      <c r="C316" s="69"/>
      <c r="D316" s="49"/>
      <c r="E316" s="69"/>
      <c r="F316" s="69"/>
      <c r="G316" s="69" t="s">
        <v>102</v>
      </c>
      <c r="H316" s="69" t="s">
        <v>103</v>
      </c>
      <c r="I316" s="69" t="s">
        <v>104</v>
      </c>
      <c r="J316" s="218">
        <v>77</v>
      </c>
      <c r="K316" s="218" t="s">
        <v>105</v>
      </c>
      <c r="L316" s="71" t="s">
        <v>106</v>
      </c>
      <c r="M316" s="218">
        <v>40760111</v>
      </c>
      <c r="N316" s="68"/>
      <c r="O316" s="73"/>
      <c r="P316" s="68">
        <f>S312*0.25%</f>
        <v>37989.531127838556</v>
      </c>
      <c r="Q316" s="73">
        <v>6.1499999999999999E-2</v>
      </c>
      <c r="R316" s="74">
        <f>Q316*P316</f>
        <v>2336.356164362071</v>
      </c>
      <c r="S316" s="194">
        <f>P316*(1-Q316)</f>
        <v>35653.174963476486</v>
      </c>
      <c r="T316" s="152" t="s">
        <v>107</v>
      </c>
    </row>
    <row r="317" spans="2:20" ht="12" customHeight="1" x14ac:dyDescent="0.2">
      <c r="G317" s="121" t="s">
        <v>51</v>
      </c>
      <c r="H317" s="121"/>
      <c r="I317" s="121"/>
      <c r="J317" s="266"/>
      <c r="K317" s="266"/>
      <c r="L317" s="266"/>
      <c r="M317" s="266"/>
      <c r="N317" s="122"/>
      <c r="O317" s="123"/>
      <c r="P317" s="122"/>
      <c r="Q317" s="123"/>
      <c r="R317" s="124"/>
      <c r="S317" s="195">
        <f>SUM(S318:S319)</f>
        <v>35761.895143865135</v>
      </c>
    </row>
    <row r="318" spans="2:20" ht="12" customHeight="1" x14ac:dyDescent="0.2">
      <c r="B318" s="218" t="s">
        <v>52</v>
      </c>
      <c r="C318" s="69"/>
      <c r="D318" s="125"/>
      <c r="E318" s="69"/>
      <c r="F318" s="69"/>
      <c r="G318" s="126" t="s">
        <v>53</v>
      </c>
      <c r="H318" s="69" t="s">
        <v>25</v>
      </c>
      <c r="I318" s="69" t="s">
        <v>26</v>
      </c>
      <c r="J318" s="267"/>
      <c r="K318" s="267"/>
      <c r="L318" s="267"/>
      <c r="M318" s="267"/>
      <c r="N318" s="68"/>
      <c r="O318" s="73"/>
      <c r="P318" s="127"/>
      <c r="Q318" s="73"/>
      <c r="R318" s="74"/>
      <c r="S318" s="194">
        <f>SUM(R313:R315)</f>
        <v>33425.538979503064</v>
      </c>
      <c r="T318" s="68"/>
    </row>
    <row r="319" spans="2:20" ht="12" customHeight="1" x14ac:dyDescent="0.2">
      <c r="B319" s="62" t="s">
        <v>52</v>
      </c>
      <c r="C319" s="17"/>
      <c r="D319" s="138"/>
      <c r="E319" s="17"/>
      <c r="F319" s="17"/>
      <c r="G319" s="139" t="s">
        <v>108</v>
      </c>
      <c r="H319" s="17" t="s">
        <v>103</v>
      </c>
      <c r="I319" s="17" t="s">
        <v>104</v>
      </c>
      <c r="J319" s="219"/>
      <c r="K319" s="219"/>
      <c r="L319" s="219"/>
      <c r="M319" s="219"/>
      <c r="N319" s="60"/>
      <c r="O319" s="65"/>
      <c r="P319" s="140"/>
      <c r="Q319" s="65"/>
      <c r="R319" s="137"/>
      <c r="S319" s="193">
        <f>SUM(R316)</f>
        <v>2336.356164362071</v>
      </c>
      <c r="T319" s="60"/>
    </row>
    <row r="320" spans="2:20" ht="12" customHeight="1" x14ac:dyDescent="0.2">
      <c r="B320" s="218" t="s">
        <v>23</v>
      </c>
      <c r="C320" s="69"/>
      <c r="D320" s="125"/>
      <c r="E320" s="69"/>
      <c r="F320" s="69"/>
      <c r="G320" s="69" t="s">
        <v>110</v>
      </c>
      <c r="H320" s="69" t="s">
        <v>46</v>
      </c>
      <c r="I320" s="69" t="s">
        <v>47</v>
      </c>
      <c r="J320" s="217">
        <v>341</v>
      </c>
      <c r="K320" s="217" t="s">
        <v>27</v>
      </c>
      <c r="L320" s="217" t="s">
        <v>76</v>
      </c>
      <c r="M320" s="217" t="s">
        <v>81</v>
      </c>
      <c r="N320" s="68"/>
      <c r="O320" s="73"/>
      <c r="P320" s="127"/>
      <c r="Q320" s="73"/>
      <c r="R320" s="74"/>
      <c r="S320" s="194">
        <f>S312-SUM(S313:S317)-S321</f>
        <v>13990767.739261143</v>
      </c>
      <c r="T320" s="68"/>
    </row>
    <row r="321" spans="2:20" ht="12" customHeight="1" x14ac:dyDescent="0.2">
      <c r="B321" s="62" t="s">
        <v>23</v>
      </c>
      <c r="C321" s="17"/>
      <c r="D321" s="138"/>
      <c r="E321" s="17"/>
      <c r="F321" s="17"/>
      <c r="G321" s="17" t="s">
        <v>75</v>
      </c>
      <c r="H321" s="17" t="s">
        <v>46</v>
      </c>
      <c r="I321" s="17" t="s">
        <v>47</v>
      </c>
      <c r="J321" s="213">
        <v>341</v>
      </c>
      <c r="K321" s="213" t="s">
        <v>27</v>
      </c>
      <c r="L321" s="213" t="s">
        <v>76</v>
      </c>
      <c r="M321" s="213" t="s">
        <v>81</v>
      </c>
      <c r="N321" s="67"/>
      <c r="O321" s="65"/>
      <c r="P321" s="140"/>
      <c r="Q321" s="65"/>
      <c r="R321" s="137"/>
      <c r="S321" s="193">
        <v>623550.48189273011</v>
      </c>
      <c r="T321" s="60"/>
    </row>
    <row r="322" spans="2:20" ht="12" customHeight="1" x14ac:dyDescent="0.2">
      <c r="B322" s="141" t="s">
        <v>21</v>
      </c>
      <c r="C322" s="142"/>
      <c r="D322" s="143"/>
      <c r="E322" s="142"/>
      <c r="F322" s="142"/>
      <c r="G322" s="144"/>
      <c r="H322" s="144"/>
      <c r="I322" s="144"/>
      <c r="J322" s="143"/>
      <c r="K322" s="143"/>
      <c r="L322" s="145"/>
      <c r="M322" s="145"/>
      <c r="N322" s="143"/>
      <c r="O322" s="143"/>
      <c r="P322" s="143"/>
      <c r="Q322" s="143"/>
      <c r="R322" s="74"/>
      <c r="S322" s="197">
        <f>S312-SUM(S313:S317,S320:S321)</f>
        <v>0</v>
      </c>
      <c r="T322" s="68"/>
    </row>
    <row r="323" spans="2:20" ht="12" customHeight="1" x14ac:dyDescent="0.2">
      <c r="B323" s="155"/>
      <c r="C323" s="156"/>
      <c r="D323" s="157"/>
      <c r="E323" s="156"/>
      <c r="F323" s="156"/>
      <c r="G323" s="158"/>
      <c r="H323" s="158"/>
      <c r="I323" s="158"/>
      <c r="J323" s="157"/>
      <c r="K323" s="157"/>
      <c r="L323" s="159"/>
      <c r="M323" s="159"/>
      <c r="N323" s="157"/>
      <c r="O323" s="157"/>
      <c r="P323" s="157"/>
      <c r="Q323" s="157"/>
      <c r="R323" s="160"/>
      <c r="S323" s="161"/>
      <c r="T323" s="162"/>
    </row>
    <row r="324" spans="2:20" ht="15" x14ac:dyDescent="0.2">
      <c r="B324" s="141" t="s">
        <v>21</v>
      </c>
      <c r="C324" s="142"/>
      <c r="D324" s="143"/>
      <c r="E324" s="142"/>
      <c r="F324" s="142"/>
      <c r="G324" s="144"/>
      <c r="H324" s="144"/>
      <c r="I324" s="144"/>
      <c r="J324" s="143"/>
      <c r="K324" s="143"/>
      <c r="L324" s="145"/>
      <c r="M324" s="145"/>
      <c r="N324" s="143"/>
      <c r="O324" s="143"/>
      <c r="P324" s="143"/>
      <c r="Q324" s="143"/>
      <c r="R324" s="74"/>
      <c r="S324" s="192"/>
      <c r="T324" s="68"/>
    </row>
    <row r="325" spans="2:20" ht="15" x14ac:dyDescent="0.25">
      <c r="B325" s="47" t="s">
        <v>20</v>
      </c>
      <c r="C325" s="48">
        <v>314</v>
      </c>
      <c r="D325" s="49">
        <v>44104</v>
      </c>
      <c r="E325" s="50">
        <v>901.89187362999996</v>
      </c>
      <c r="F325" s="51">
        <v>3604</v>
      </c>
      <c r="G325" s="52" t="s">
        <v>20</v>
      </c>
      <c r="H325" s="53"/>
      <c r="I325" s="53"/>
      <c r="J325" s="54"/>
      <c r="K325" s="54"/>
      <c r="L325" s="55"/>
      <c r="M325" s="54"/>
      <c r="N325" s="47"/>
      <c r="O325" s="56"/>
      <c r="P325" s="47"/>
      <c r="Q325" s="56"/>
      <c r="R325" s="57"/>
      <c r="S325" s="192">
        <f>E325*F325</f>
        <v>3250418.3125625197</v>
      </c>
      <c r="T325" s="68"/>
    </row>
    <row r="326" spans="2:20" ht="15" x14ac:dyDescent="0.25">
      <c r="B326" s="47" t="s">
        <v>20</v>
      </c>
      <c r="C326" s="48">
        <v>324</v>
      </c>
      <c r="D326" s="49">
        <v>44104</v>
      </c>
      <c r="E326" s="50">
        <v>968.37891002000003</v>
      </c>
      <c r="F326" s="51">
        <v>1553</v>
      </c>
      <c r="G326" s="52" t="s">
        <v>20</v>
      </c>
      <c r="H326" s="53"/>
      <c r="I326" s="53"/>
      <c r="J326" s="54"/>
      <c r="K326" s="54"/>
      <c r="L326" s="55"/>
      <c r="M326" s="54"/>
      <c r="N326" s="47"/>
      <c r="O326" s="56"/>
      <c r="P326" s="47"/>
      <c r="Q326" s="56"/>
      <c r="R326" s="57"/>
      <c r="S326" s="192">
        <f>E326*F326</f>
        <v>1503892.4472610601</v>
      </c>
      <c r="T326" s="68"/>
    </row>
    <row r="327" spans="2:20" ht="15" x14ac:dyDescent="0.25">
      <c r="B327" s="47" t="s">
        <v>20</v>
      </c>
      <c r="C327" s="48">
        <v>327</v>
      </c>
      <c r="D327" s="49">
        <v>44104</v>
      </c>
      <c r="E327" s="50">
        <v>1000</v>
      </c>
      <c r="F327" s="51">
        <v>1500</v>
      </c>
      <c r="G327" s="52" t="s">
        <v>20</v>
      </c>
      <c r="H327" s="53"/>
      <c r="I327" s="53"/>
      <c r="J327" s="54"/>
      <c r="K327" s="54"/>
      <c r="L327" s="55"/>
      <c r="M327" s="54"/>
      <c r="N327" s="47"/>
      <c r="O327" s="56"/>
      <c r="P327" s="47"/>
      <c r="Q327" s="56"/>
      <c r="R327" s="57"/>
      <c r="S327" s="192">
        <f>E327*F327</f>
        <v>1500000</v>
      </c>
      <c r="T327" s="68"/>
    </row>
    <row r="328" spans="2:20" ht="15" x14ac:dyDescent="0.25">
      <c r="B328" s="47" t="s">
        <v>20</v>
      </c>
      <c r="C328" s="48">
        <v>328</v>
      </c>
      <c r="D328" s="49">
        <v>44104</v>
      </c>
      <c r="E328" s="50">
        <v>974.37101432999998</v>
      </c>
      <c r="F328" s="51">
        <v>1823</v>
      </c>
      <c r="G328" s="52" t="s">
        <v>20</v>
      </c>
      <c r="H328" s="53"/>
      <c r="I328" s="53"/>
      <c r="J328" s="54"/>
      <c r="K328" s="54"/>
      <c r="L328" s="55"/>
      <c r="M328" s="54"/>
      <c r="N328" s="47"/>
      <c r="O328" s="56"/>
      <c r="P328" s="47"/>
      <c r="Q328" s="56"/>
      <c r="R328" s="57"/>
      <c r="S328" s="192">
        <f>E328*F328</f>
        <v>1776278.3591235899</v>
      </c>
      <c r="T328" s="68"/>
    </row>
    <row r="329" spans="2:20" ht="15" x14ac:dyDescent="0.25">
      <c r="B329" s="47" t="s">
        <v>20</v>
      </c>
      <c r="C329" s="48">
        <v>331</v>
      </c>
      <c r="D329" s="49">
        <v>44104</v>
      </c>
      <c r="E329" s="50">
        <v>1000</v>
      </c>
      <c r="F329" s="51">
        <v>1974</v>
      </c>
      <c r="G329" s="52" t="s">
        <v>20</v>
      </c>
      <c r="H329" s="53"/>
      <c r="I329" s="53"/>
      <c r="J329" s="54"/>
      <c r="K329" s="54"/>
      <c r="L329" s="55"/>
      <c r="M329" s="54"/>
      <c r="N329" s="47"/>
      <c r="O329" s="56"/>
      <c r="P329" s="47"/>
      <c r="Q329" s="56"/>
      <c r="R329" s="57"/>
      <c r="S329" s="192">
        <f>E329*F329</f>
        <v>1974000</v>
      </c>
      <c r="T329" s="68"/>
    </row>
    <row r="330" spans="2:20" ht="15" x14ac:dyDescent="0.25">
      <c r="B330" s="47" t="s">
        <v>20</v>
      </c>
      <c r="C330" s="48" t="s">
        <v>21</v>
      </c>
      <c r="D330" s="49"/>
      <c r="E330" s="50"/>
      <c r="F330" s="51"/>
      <c r="G330" s="52" t="s">
        <v>22</v>
      </c>
      <c r="H330" s="53"/>
      <c r="I330" s="53"/>
      <c r="J330" s="54"/>
      <c r="K330" s="54"/>
      <c r="L330" s="55"/>
      <c r="M330" s="54"/>
      <c r="N330" s="47"/>
      <c r="O330" s="56"/>
      <c r="P330" s="47"/>
      <c r="Q330" s="56"/>
      <c r="R330" s="57"/>
      <c r="S330" s="192">
        <f>SUM(S325:S329)</f>
        <v>10004589.118947169</v>
      </c>
      <c r="T330" s="68"/>
    </row>
    <row r="331" spans="2:20" ht="12" customHeight="1" x14ac:dyDescent="0.25">
      <c r="B331" s="150" t="s">
        <v>23</v>
      </c>
      <c r="C331" s="17"/>
      <c r="D331" s="61"/>
      <c r="E331" s="17"/>
      <c r="F331" s="17"/>
      <c r="G331" s="17" t="s">
        <v>24</v>
      </c>
      <c r="H331" s="17" t="s">
        <v>25</v>
      </c>
      <c r="I331" s="17" t="s">
        <v>26</v>
      </c>
      <c r="J331" s="62">
        <v>341</v>
      </c>
      <c r="K331" s="62" t="s">
        <v>27</v>
      </c>
      <c r="L331" s="63" t="s">
        <v>28</v>
      </c>
      <c r="M331" s="62" t="s">
        <v>29</v>
      </c>
      <c r="N331" s="60">
        <f>S330*0.5%</f>
        <v>50022.945594735844</v>
      </c>
      <c r="O331" s="65">
        <v>0.1115</v>
      </c>
      <c r="P331" s="60">
        <f>N331/(1-O331)</f>
        <v>56300.445238869834</v>
      </c>
      <c r="Q331" s="65">
        <v>6.1499999999999999E-2</v>
      </c>
      <c r="R331" s="66">
        <f>Q331*P331</f>
        <v>3462.4773821904946</v>
      </c>
      <c r="S331" s="193">
        <f>P331*(1-Q331)</f>
        <v>52837.967856679337</v>
      </c>
      <c r="T331" s="67" t="s">
        <v>77</v>
      </c>
    </row>
    <row r="332" spans="2:20" ht="12" customHeight="1" x14ac:dyDescent="0.25">
      <c r="B332" s="68" t="s">
        <v>23</v>
      </c>
      <c r="C332" s="69"/>
      <c r="D332" s="49"/>
      <c r="E332" s="69"/>
      <c r="F332" s="69"/>
      <c r="G332" s="69" t="s">
        <v>30</v>
      </c>
      <c r="H332" s="69" t="s">
        <v>25</v>
      </c>
      <c r="I332" s="69" t="s">
        <v>26</v>
      </c>
      <c r="J332" s="221">
        <v>341</v>
      </c>
      <c r="K332" s="221" t="s">
        <v>27</v>
      </c>
      <c r="L332" s="71" t="s">
        <v>28</v>
      </c>
      <c r="M332" s="221" t="s">
        <v>29</v>
      </c>
      <c r="N332" s="68">
        <f>S330*2%</f>
        <v>200091.78237894338</v>
      </c>
      <c r="O332" s="73">
        <v>0.1115</v>
      </c>
      <c r="P332" s="68">
        <f>(N332/(1-O332))-P334</f>
        <v>200190.30815811141</v>
      </c>
      <c r="Q332" s="73">
        <v>6.1499999999999999E-2</v>
      </c>
      <c r="R332" s="74">
        <f>Q332*P332</f>
        <v>12311.703951723852</v>
      </c>
      <c r="S332" s="194">
        <f>P332*(1-Q332)</f>
        <v>187878.60420638756</v>
      </c>
      <c r="T332" s="152" t="s">
        <v>72</v>
      </c>
    </row>
    <row r="333" spans="2:20" ht="12" customHeight="1" x14ac:dyDescent="0.25">
      <c r="B333" s="150" t="s">
        <v>23</v>
      </c>
      <c r="C333" s="17"/>
      <c r="D333" s="61"/>
      <c r="E333" s="17"/>
      <c r="F333" s="17"/>
      <c r="G333" s="17" t="s">
        <v>83</v>
      </c>
      <c r="H333" s="17" t="s">
        <v>25</v>
      </c>
      <c r="I333" s="17" t="s">
        <v>26</v>
      </c>
      <c r="J333" s="62">
        <v>341</v>
      </c>
      <c r="K333" s="62" t="s">
        <v>27</v>
      </c>
      <c r="L333" s="63" t="s">
        <v>28</v>
      </c>
      <c r="M333" s="62" t="s">
        <v>29</v>
      </c>
      <c r="N333" s="60">
        <f>S330*0.9%</f>
        <v>90041.302070524529</v>
      </c>
      <c r="O333" s="65">
        <v>0.1115</v>
      </c>
      <c r="P333" s="60">
        <f>N333/(1-O333)</f>
        <v>101340.80142996571</v>
      </c>
      <c r="Q333" s="65">
        <v>6.1499999999999999E-2</v>
      </c>
      <c r="R333" s="66">
        <f>Q333*P333</f>
        <v>6232.459287942891</v>
      </c>
      <c r="S333" s="193">
        <f>P333*(1-Q333)</f>
        <v>95108.342142022811</v>
      </c>
      <c r="T333" s="67" t="s">
        <v>78</v>
      </c>
    </row>
    <row r="334" spans="2:20" ht="12" customHeight="1" x14ac:dyDescent="0.25">
      <c r="B334" s="68" t="s">
        <v>113</v>
      </c>
      <c r="C334" s="69"/>
      <c r="D334" s="49"/>
      <c r="E334" s="69"/>
      <c r="F334" s="69"/>
      <c r="G334" s="69" t="s">
        <v>102</v>
      </c>
      <c r="H334" s="69" t="s">
        <v>103</v>
      </c>
      <c r="I334" s="69" t="s">
        <v>104</v>
      </c>
      <c r="J334" s="221">
        <v>77</v>
      </c>
      <c r="K334" s="221" t="s">
        <v>105</v>
      </c>
      <c r="L334" s="71" t="s">
        <v>106</v>
      </c>
      <c r="M334" s="221">
        <v>40760111</v>
      </c>
      <c r="N334" s="68"/>
      <c r="O334" s="73"/>
      <c r="P334" s="68">
        <f>S330*0.25%</f>
        <v>25011.472797367922</v>
      </c>
      <c r="Q334" s="73">
        <v>6.1499999999999999E-2</v>
      </c>
      <c r="R334" s="74">
        <f>Q334*P334</f>
        <v>1538.2055770381271</v>
      </c>
      <c r="S334" s="194">
        <f>P334*(1-Q334)</f>
        <v>23473.267220329795</v>
      </c>
      <c r="T334" s="152" t="s">
        <v>107</v>
      </c>
    </row>
    <row r="335" spans="2:20" ht="12" customHeight="1" x14ac:dyDescent="0.2">
      <c r="G335" s="121" t="s">
        <v>51</v>
      </c>
      <c r="H335" s="121"/>
      <c r="I335" s="121"/>
      <c r="J335" s="266"/>
      <c r="K335" s="266"/>
      <c r="L335" s="266"/>
      <c r="M335" s="266"/>
      <c r="N335" s="122"/>
      <c r="O335" s="123"/>
      <c r="P335" s="122"/>
      <c r="Q335" s="123"/>
      <c r="R335" s="124"/>
      <c r="S335" s="195">
        <f>SUM(S336:S337)</f>
        <v>23544.846198895364</v>
      </c>
    </row>
    <row r="336" spans="2:20" ht="12" customHeight="1" x14ac:dyDescent="0.2">
      <c r="B336" s="221" t="s">
        <v>52</v>
      </c>
      <c r="C336" s="69"/>
      <c r="D336" s="125"/>
      <c r="E336" s="69"/>
      <c r="F336" s="69"/>
      <c r="G336" s="126" t="s">
        <v>53</v>
      </c>
      <c r="H336" s="69" t="s">
        <v>25</v>
      </c>
      <c r="I336" s="69" t="s">
        <v>26</v>
      </c>
      <c r="J336" s="267"/>
      <c r="K336" s="267"/>
      <c r="L336" s="267"/>
      <c r="M336" s="267"/>
      <c r="N336" s="68"/>
      <c r="O336" s="73"/>
      <c r="P336" s="127"/>
      <c r="Q336" s="73"/>
      <c r="R336" s="74"/>
      <c r="S336" s="194">
        <f>SUM(R331:R333)</f>
        <v>22006.640621857237</v>
      </c>
      <c r="T336" s="68"/>
    </row>
    <row r="337" spans="2:20" ht="12" customHeight="1" x14ac:dyDescent="0.2">
      <c r="B337" s="62" t="s">
        <v>52</v>
      </c>
      <c r="C337" s="17"/>
      <c r="D337" s="138"/>
      <c r="E337" s="17"/>
      <c r="F337" s="17"/>
      <c r="G337" s="139" t="s">
        <v>108</v>
      </c>
      <c r="H337" s="17" t="s">
        <v>103</v>
      </c>
      <c r="I337" s="17" t="s">
        <v>104</v>
      </c>
      <c r="J337" s="222"/>
      <c r="K337" s="222"/>
      <c r="L337" s="222"/>
      <c r="M337" s="222"/>
      <c r="N337" s="60"/>
      <c r="O337" s="65"/>
      <c r="P337" s="140"/>
      <c r="Q337" s="65"/>
      <c r="R337" s="137"/>
      <c r="S337" s="193">
        <f>SUM(R334)</f>
        <v>1538.2055770381271</v>
      </c>
      <c r="T337" s="60"/>
    </row>
    <row r="338" spans="2:20" ht="12" customHeight="1" x14ac:dyDescent="0.2">
      <c r="B338" s="221" t="s">
        <v>23</v>
      </c>
      <c r="C338" s="69"/>
      <c r="D338" s="125"/>
      <c r="E338" s="69"/>
      <c r="F338" s="69"/>
      <c r="G338" s="69" t="s">
        <v>110</v>
      </c>
      <c r="H338" s="69" t="s">
        <v>46</v>
      </c>
      <c r="I338" s="69" t="s">
        <v>47</v>
      </c>
      <c r="J338" s="220">
        <v>341</v>
      </c>
      <c r="K338" s="220" t="s">
        <v>27</v>
      </c>
      <c r="L338" s="220" t="s">
        <v>76</v>
      </c>
      <c r="M338" s="220" t="s">
        <v>81</v>
      </c>
      <c r="N338" s="68"/>
      <c r="O338" s="73"/>
      <c r="P338" s="127"/>
      <c r="Q338" s="73"/>
      <c r="R338" s="74"/>
      <c r="S338" s="194">
        <f>S330-SUM(S331:S335)-S339</f>
        <v>9229985.8247911651</v>
      </c>
      <c r="T338" s="68"/>
    </row>
    <row r="339" spans="2:20" ht="12" customHeight="1" x14ac:dyDescent="0.2">
      <c r="B339" s="62" t="s">
        <v>23</v>
      </c>
      <c r="C339" s="17"/>
      <c r="D339" s="138"/>
      <c r="E339" s="17"/>
      <c r="F339" s="17"/>
      <c r="G339" s="17" t="s">
        <v>75</v>
      </c>
      <c r="H339" s="17" t="s">
        <v>46</v>
      </c>
      <c r="I339" s="17" t="s">
        <v>47</v>
      </c>
      <c r="J339" s="213">
        <v>341</v>
      </c>
      <c r="K339" s="213" t="s">
        <v>27</v>
      </c>
      <c r="L339" s="213" t="s">
        <v>76</v>
      </c>
      <c r="M339" s="213" t="s">
        <v>81</v>
      </c>
      <c r="N339" s="67"/>
      <c r="O339" s="65"/>
      <c r="P339" s="140"/>
      <c r="Q339" s="65"/>
      <c r="R339" s="137"/>
      <c r="S339" s="193">
        <v>391760.26653168898</v>
      </c>
      <c r="T339" s="60"/>
    </row>
    <row r="340" spans="2:20" ht="12" customHeight="1" x14ac:dyDescent="0.2">
      <c r="B340" s="141" t="s">
        <v>21</v>
      </c>
      <c r="C340" s="142"/>
      <c r="D340" s="143"/>
      <c r="E340" s="142"/>
      <c r="F340" s="142"/>
      <c r="G340" s="144"/>
      <c r="H340" s="144"/>
      <c r="I340" s="144"/>
      <c r="J340" s="143"/>
      <c r="K340" s="143"/>
      <c r="L340" s="145"/>
      <c r="M340" s="145"/>
      <c r="N340" s="143"/>
      <c r="O340" s="143"/>
      <c r="P340" s="143"/>
      <c r="Q340" s="143"/>
      <c r="R340" s="74"/>
      <c r="S340" s="197">
        <f>S330-SUM(S331:S335,S338:S339)</f>
        <v>0</v>
      </c>
      <c r="T340" s="68"/>
    </row>
    <row r="341" spans="2:20" ht="12" customHeight="1" x14ac:dyDescent="0.2">
      <c r="B341" s="155"/>
      <c r="C341" s="156"/>
      <c r="D341" s="157"/>
      <c r="E341" s="156"/>
      <c r="F341" s="156"/>
      <c r="G341" s="158"/>
      <c r="H341" s="158"/>
      <c r="I341" s="158"/>
      <c r="J341" s="157"/>
      <c r="K341" s="157"/>
      <c r="L341" s="159"/>
      <c r="M341" s="159"/>
      <c r="N341" s="157"/>
      <c r="O341" s="157"/>
      <c r="P341" s="157"/>
      <c r="Q341" s="157"/>
      <c r="R341" s="160"/>
      <c r="S341" s="161"/>
      <c r="T341" s="162"/>
    </row>
    <row r="342" spans="2:20" ht="15" x14ac:dyDescent="0.2">
      <c r="B342" s="141" t="s">
        <v>21</v>
      </c>
      <c r="C342" s="142"/>
      <c r="D342" s="143"/>
      <c r="E342" s="142"/>
      <c r="F342" s="142"/>
      <c r="G342" s="144"/>
      <c r="H342" s="144"/>
      <c r="I342" s="144"/>
      <c r="J342" s="143"/>
      <c r="K342" s="143"/>
      <c r="L342" s="145"/>
      <c r="M342" s="145"/>
      <c r="N342" s="143"/>
      <c r="O342" s="143"/>
      <c r="P342" s="143"/>
      <c r="Q342" s="143"/>
      <c r="R342" s="74"/>
      <c r="S342" s="192"/>
      <c r="T342" s="68"/>
    </row>
    <row r="343" spans="2:20" ht="15" x14ac:dyDescent="0.25">
      <c r="B343" s="47" t="s">
        <v>20</v>
      </c>
      <c r="C343" s="48">
        <v>314</v>
      </c>
      <c r="D343" s="49">
        <v>44109</v>
      </c>
      <c r="E343" s="50">
        <v>903.19158847000006</v>
      </c>
      <c r="F343" s="51">
        <v>246</v>
      </c>
      <c r="G343" s="52" t="s">
        <v>20</v>
      </c>
      <c r="H343" s="53"/>
      <c r="I343" s="53"/>
      <c r="J343" s="54"/>
      <c r="K343" s="54"/>
      <c r="L343" s="55"/>
      <c r="M343" s="54"/>
      <c r="N343" s="47"/>
      <c r="O343" s="56"/>
      <c r="P343" s="47"/>
      <c r="Q343" s="56"/>
      <c r="R343" s="57"/>
      <c r="S343" s="192">
        <f>E343*F343</f>
        <v>222185.13076362002</v>
      </c>
      <c r="T343" s="68"/>
    </row>
    <row r="344" spans="2:20" ht="15" x14ac:dyDescent="0.25">
      <c r="B344" s="47" t="s">
        <v>20</v>
      </c>
      <c r="C344" s="48">
        <v>317</v>
      </c>
      <c r="D344" s="49">
        <v>44109</v>
      </c>
      <c r="E344" s="50">
        <v>1000</v>
      </c>
      <c r="F344" s="51">
        <v>3204</v>
      </c>
      <c r="G344" s="52" t="s">
        <v>20</v>
      </c>
      <c r="H344" s="53"/>
      <c r="I344" s="53"/>
      <c r="J344" s="54"/>
      <c r="K344" s="54"/>
      <c r="L344" s="55"/>
      <c r="M344" s="54"/>
      <c r="N344" s="47"/>
      <c r="O344" s="56"/>
      <c r="P344" s="47"/>
      <c r="Q344" s="56"/>
      <c r="R344" s="57"/>
      <c r="S344" s="192">
        <f>E344*F344</f>
        <v>3204000</v>
      </c>
      <c r="T344" s="68"/>
    </row>
    <row r="345" spans="2:20" ht="15" x14ac:dyDescent="0.25">
      <c r="B345" s="47" t="s">
        <v>20</v>
      </c>
      <c r="C345" s="48">
        <v>327</v>
      </c>
      <c r="D345" s="49">
        <v>44109</v>
      </c>
      <c r="E345" s="50">
        <v>1001.94747092</v>
      </c>
      <c r="F345" s="51">
        <v>1553</v>
      </c>
      <c r="G345" s="52" t="s">
        <v>20</v>
      </c>
      <c r="H345" s="53"/>
      <c r="I345" s="53"/>
      <c r="J345" s="54"/>
      <c r="K345" s="54"/>
      <c r="L345" s="55"/>
      <c r="M345" s="54"/>
      <c r="N345" s="47"/>
      <c r="O345" s="56"/>
      <c r="P345" s="47"/>
      <c r="Q345" s="56"/>
      <c r="R345" s="57"/>
      <c r="S345" s="192">
        <f>E345*F345</f>
        <v>1556024.42233876</v>
      </c>
      <c r="T345" s="68"/>
    </row>
    <row r="346" spans="2:20" ht="12" customHeight="1" x14ac:dyDescent="0.25">
      <c r="B346" s="47" t="s">
        <v>20</v>
      </c>
      <c r="C346" s="48" t="s">
        <v>21</v>
      </c>
      <c r="D346" s="49"/>
      <c r="E346" s="50"/>
      <c r="F346" s="51"/>
      <c r="G346" s="52" t="s">
        <v>22</v>
      </c>
      <c r="H346" s="53"/>
      <c r="I346" s="53"/>
      <c r="J346" s="54"/>
      <c r="K346" s="54"/>
      <c r="L346" s="55"/>
      <c r="M346" s="54"/>
      <c r="N346" s="47"/>
      <c r="O346" s="56"/>
      <c r="P346" s="47"/>
      <c r="Q346" s="56"/>
      <c r="R346" s="57"/>
      <c r="S346" s="192">
        <f>SUM(S343:S345)</f>
        <v>4982209.5531023797</v>
      </c>
      <c r="T346" s="68"/>
    </row>
    <row r="347" spans="2:20" ht="12" customHeight="1" x14ac:dyDescent="0.25">
      <c r="B347" s="150" t="s">
        <v>23</v>
      </c>
      <c r="C347" s="17"/>
      <c r="D347" s="61"/>
      <c r="E347" s="17"/>
      <c r="F347" s="17"/>
      <c r="G347" s="17" t="s">
        <v>24</v>
      </c>
      <c r="H347" s="17" t="s">
        <v>25</v>
      </c>
      <c r="I347" s="17" t="s">
        <v>26</v>
      </c>
      <c r="J347" s="62">
        <v>341</v>
      </c>
      <c r="K347" s="62" t="s">
        <v>27</v>
      </c>
      <c r="L347" s="63" t="s">
        <v>28</v>
      </c>
      <c r="M347" s="62" t="s">
        <v>29</v>
      </c>
      <c r="N347" s="60">
        <f>S346*0.5%</f>
        <v>24911.047765511899</v>
      </c>
      <c r="O347" s="65">
        <v>0.1115</v>
      </c>
      <c r="P347" s="60">
        <f>N347/(1-O347)</f>
        <v>28037.195009017334</v>
      </c>
      <c r="Q347" s="65">
        <v>6.1499999999999999E-2</v>
      </c>
      <c r="R347" s="66">
        <f>Q347*P347</f>
        <v>1724.2874930545661</v>
      </c>
      <c r="S347" s="193">
        <f>P347*(1-Q347)</f>
        <v>26312.907515962768</v>
      </c>
      <c r="T347" s="67" t="s">
        <v>77</v>
      </c>
    </row>
    <row r="348" spans="2:20" ht="12" customHeight="1" x14ac:dyDescent="0.25">
      <c r="B348" s="68" t="s">
        <v>23</v>
      </c>
      <c r="C348" s="69"/>
      <c r="D348" s="49"/>
      <c r="E348" s="69"/>
      <c r="F348" s="69"/>
      <c r="G348" s="69" t="s">
        <v>30</v>
      </c>
      <c r="H348" s="69" t="s">
        <v>25</v>
      </c>
      <c r="I348" s="69" t="s">
        <v>26</v>
      </c>
      <c r="J348" s="225">
        <v>341</v>
      </c>
      <c r="K348" s="225" t="s">
        <v>27</v>
      </c>
      <c r="L348" s="71" t="s">
        <v>28</v>
      </c>
      <c r="M348" s="225" t="s">
        <v>29</v>
      </c>
      <c r="N348" s="68">
        <f>S346*2%</f>
        <v>99644.191062047597</v>
      </c>
      <c r="O348" s="73">
        <v>0.1115</v>
      </c>
      <c r="P348" s="68">
        <f>(N348/(1-O348))-P350</f>
        <v>99693.256153313385</v>
      </c>
      <c r="Q348" s="73">
        <v>6.1499999999999999E-2</v>
      </c>
      <c r="R348" s="74">
        <f>Q348*P348</f>
        <v>6131.1352534287735</v>
      </c>
      <c r="S348" s="194">
        <f>P348*(1-Q348)</f>
        <v>93562.120899884612</v>
      </c>
      <c r="T348" s="152" t="s">
        <v>72</v>
      </c>
    </row>
    <row r="349" spans="2:20" ht="12" customHeight="1" x14ac:dyDescent="0.25">
      <c r="B349" s="150" t="s">
        <v>23</v>
      </c>
      <c r="C349" s="17"/>
      <c r="D349" s="61"/>
      <c r="E349" s="17"/>
      <c r="F349" s="17"/>
      <c r="G349" s="17" t="s">
        <v>83</v>
      </c>
      <c r="H349" s="17" t="s">
        <v>25</v>
      </c>
      <c r="I349" s="17" t="s">
        <v>26</v>
      </c>
      <c r="J349" s="62">
        <v>341</v>
      </c>
      <c r="K349" s="62" t="s">
        <v>27</v>
      </c>
      <c r="L349" s="63" t="s">
        <v>28</v>
      </c>
      <c r="M349" s="62" t="s">
        <v>29</v>
      </c>
      <c r="N349" s="60">
        <f>S346*0.9%</f>
        <v>44839.885977921425</v>
      </c>
      <c r="O349" s="65">
        <v>0.1115</v>
      </c>
      <c r="P349" s="60">
        <f>N349/(1-O349)</f>
        <v>50466.951016231207</v>
      </c>
      <c r="Q349" s="65">
        <v>6.1499999999999999E-2</v>
      </c>
      <c r="R349" s="66">
        <f>Q349*P349</f>
        <v>3103.7174874982193</v>
      </c>
      <c r="S349" s="193">
        <f>P349*(1-Q349)</f>
        <v>47363.233528732992</v>
      </c>
      <c r="T349" s="67" t="s">
        <v>78</v>
      </c>
    </row>
    <row r="350" spans="2:20" ht="12" customHeight="1" x14ac:dyDescent="0.25">
      <c r="B350" s="68" t="s">
        <v>113</v>
      </c>
      <c r="C350" s="69"/>
      <c r="D350" s="49"/>
      <c r="E350" s="69"/>
      <c r="F350" s="69"/>
      <c r="G350" s="69" t="s">
        <v>102</v>
      </c>
      <c r="H350" s="69" t="s">
        <v>103</v>
      </c>
      <c r="I350" s="69" t="s">
        <v>104</v>
      </c>
      <c r="J350" s="225">
        <v>77</v>
      </c>
      <c r="K350" s="225" t="s">
        <v>105</v>
      </c>
      <c r="L350" s="71" t="s">
        <v>106</v>
      </c>
      <c r="M350" s="225">
        <v>40760111</v>
      </c>
      <c r="N350" s="68"/>
      <c r="O350" s="73"/>
      <c r="P350" s="68">
        <f>S346*0.25%</f>
        <v>12455.52388275595</v>
      </c>
      <c r="Q350" s="73">
        <v>6.1499999999999999E-2</v>
      </c>
      <c r="R350" s="74">
        <f>Q350*P350</f>
        <v>766.01471878949087</v>
      </c>
      <c r="S350" s="194">
        <f>P350*(1-Q350)</f>
        <v>11689.509163966459</v>
      </c>
      <c r="T350" s="152" t="s">
        <v>107</v>
      </c>
    </row>
    <row r="351" spans="2:20" ht="12" customHeight="1" x14ac:dyDescent="0.2">
      <c r="G351" s="121" t="s">
        <v>51</v>
      </c>
      <c r="H351" s="121"/>
      <c r="I351" s="121"/>
      <c r="J351" s="266"/>
      <c r="K351" s="266"/>
      <c r="L351" s="266"/>
      <c r="M351" s="266"/>
      <c r="N351" s="122"/>
      <c r="O351" s="123"/>
      <c r="P351" s="122"/>
      <c r="Q351" s="123"/>
      <c r="R351" s="124"/>
      <c r="S351" s="195">
        <f>SUM(S352:S353)</f>
        <v>11725.154952771049</v>
      </c>
    </row>
    <row r="352" spans="2:20" ht="12" customHeight="1" x14ac:dyDescent="0.2">
      <c r="B352" s="225" t="s">
        <v>52</v>
      </c>
      <c r="C352" s="69"/>
      <c r="D352" s="125"/>
      <c r="E352" s="69"/>
      <c r="F352" s="69"/>
      <c r="G352" s="126" t="s">
        <v>53</v>
      </c>
      <c r="H352" s="69" t="s">
        <v>25</v>
      </c>
      <c r="I352" s="69" t="s">
        <v>26</v>
      </c>
      <c r="J352" s="267"/>
      <c r="K352" s="267"/>
      <c r="L352" s="267"/>
      <c r="M352" s="267"/>
      <c r="N352" s="68"/>
      <c r="O352" s="73"/>
      <c r="P352" s="127"/>
      <c r="Q352" s="73"/>
      <c r="R352" s="74"/>
      <c r="S352" s="194">
        <f>SUM(R347:R349)</f>
        <v>10959.140233981558</v>
      </c>
      <c r="T352" s="68"/>
    </row>
    <row r="353" spans="2:20" ht="12" customHeight="1" x14ac:dyDescent="0.2">
      <c r="B353" s="62" t="s">
        <v>52</v>
      </c>
      <c r="C353" s="17"/>
      <c r="D353" s="138"/>
      <c r="E353" s="17"/>
      <c r="F353" s="17"/>
      <c r="G353" s="139" t="s">
        <v>108</v>
      </c>
      <c r="H353" s="17" t="s">
        <v>103</v>
      </c>
      <c r="I353" s="17" t="s">
        <v>104</v>
      </c>
      <c r="J353" s="224"/>
      <c r="K353" s="224"/>
      <c r="L353" s="224"/>
      <c r="M353" s="224"/>
      <c r="N353" s="60"/>
      <c r="O353" s="65"/>
      <c r="P353" s="140"/>
      <c r="Q353" s="65"/>
      <c r="R353" s="137"/>
      <c r="S353" s="193">
        <f>SUM(R350)</f>
        <v>766.01471878949087</v>
      </c>
      <c r="T353" s="60"/>
    </row>
    <row r="354" spans="2:20" ht="12" customHeight="1" x14ac:dyDescent="0.2">
      <c r="B354" s="225" t="s">
        <v>23</v>
      </c>
      <c r="C354" s="69"/>
      <c r="D354" s="125"/>
      <c r="E354" s="69"/>
      <c r="F354" s="69"/>
      <c r="G354" s="69" t="s">
        <v>110</v>
      </c>
      <c r="H354" s="69" t="s">
        <v>46</v>
      </c>
      <c r="I354" s="69" t="s">
        <v>47</v>
      </c>
      <c r="J354" s="223">
        <v>341</v>
      </c>
      <c r="K354" s="223" t="s">
        <v>27</v>
      </c>
      <c r="L354" s="223" t="s">
        <v>76</v>
      </c>
      <c r="M354" s="223" t="s">
        <v>81</v>
      </c>
      <c r="N354" s="68"/>
      <c r="O354" s="73"/>
      <c r="P354" s="127"/>
      <c r="Q354" s="73"/>
      <c r="R354" s="74"/>
      <c r="S354" s="194">
        <f>S346-SUM(S347:S351)-S355</f>
        <v>4563786.6699435012</v>
      </c>
      <c r="T354" s="68"/>
    </row>
    <row r="355" spans="2:20" ht="12" customHeight="1" x14ac:dyDescent="0.2">
      <c r="B355" s="62" t="s">
        <v>23</v>
      </c>
      <c r="C355" s="17"/>
      <c r="D355" s="138"/>
      <c r="E355" s="17"/>
      <c r="F355" s="17"/>
      <c r="G355" s="17" t="s">
        <v>75</v>
      </c>
      <c r="H355" s="17" t="s">
        <v>46</v>
      </c>
      <c r="I355" s="17" t="s">
        <v>47</v>
      </c>
      <c r="J355" s="213">
        <v>341</v>
      </c>
      <c r="K355" s="213" t="s">
        <v>27</v>
      </c>
      <c r="L355" s="213" t="s">
        <v>76</v>
      </c>
      <c r="M355" s="213" t="s">
        <v>81</v>
      </c>
      <c r="N355" s="67"/>
      <c r="O355" s="65"/>
      <c r="P355" s="140"/>
      <c r="Q355" s="65"/>
      <c r="R355" s="137"/>
      <c r="S355" s="193">
        <f>6630207.26422438-6402437.30712682</f>
        <v>227769.95709756017</v>
      </c>
      <c r="T355" s="60"/>
    </row>
    <row r="356" spans="2:20" ht="12" customHeight="1" x14ac:dyDescent="0.2">
      <c r="B356" s="141" t="s">
        <v>21</v>
      </c>
      <c r="C356" s="142"/>
      <c r="D356" s="143"/>
      <c r="E356" s="142"/>
      <c r="F356" s="142"/>
      <c r="G356" s="144"/>
      <c r="H356" s="144"/>
      <c r="I356" s="144"/>
      <c r="J356" s="143"/>
      <c r="K356" s="143"/>
      <c r="L356" s="145"/>
      <c r="M356" s="145"/>
      <c r="N356" s="143"/>
      <c r="O356" s="143"/>
      <c r="P356" s="143"/>
      <c r="Q356" s="143"/>
      <c r="R356" s="74"/>
      <c r="S356" s="197">
        <f>S346-SUM(S347:S351,S354:S355)</f>
        <v>0</v>
      </c>
      <c r="T356" s="68"/>
    </row>
    <row r="357" spans="2:20" ht="12" customHeight="1" x14ac:dyDescent="0.2">
      <c r="B357" s="155"/>
      <c r="C357" s="156"/>
      <c r="D357" s="157"/>
      <c r="E357" s="156"/>
      <c r="F357" s="156"/>
      <c r="G357" s="158"/>
      <c r="H357" s="158"/>
      <c r="I357" s="158"/>
      <c r="J357" s="157"/>
      <c r="K357" s="157"/>
      <c r="L357" s="159"/>
      <c r="M357" s="159"/>
      <c r="N357" s="157"/>
      <c r="O357" s="157"/>
      <c r="P357" s="157"/>
      <c r="Q357" s="157"/>
      <c r="R357" s="160"/>
      <c r="S357" s="161"/>
      <c r="T357" s="162"/>
    </row>
    <row r="358" spans="2:20" ht="15" x14ac:dyDescent="0.2">
      <c r="B358" s="141" t="s">
        <v>21</v>
      </c>
      <c r="C358" s="142"/>
      <c r="D358" s="143"/>
      <c r="E358" s="142"/>
      <c r="F358" s="142"/>
      <c r="G358" s="144"/>
      <c r="H358" s="144"/>
      <c r="I358" s="144"/>
      <c r="J358" s="143"/>
      <c r="K358" s="143"/>
      <c r="L358" s="145"/>
      <c r="M358" s="145"/>
      <c r="N358" s="143"/>
      <c r="O358" s="143"/>
      <c r="P358" s="143"/>
      <c r="Q358" s="143"/>
      <c r="R358" s="74"/>
      <c r="S358" s="192"/>
      <c r="T358" s="68"/>
    </row>
    <row r="359" spans="2:20" ht="15" x14ac:dyDescent="0.25">
      <c r="B359" s="47" t="s">
        <v>20</v>
      </c>
      <c r="C359" s="48">
        <v>317</v>
      </c>
      <c r="D359" s="49">
        <v>44112</v>
      </c>
      <c r="E359" s="50">
        <v>1001.44108884</v>
      </c>
      <c r="F359" s="51">
        <v>5500</v>
      </c>
      <c r="G359" s="52" t="s">
        <v>20</v>
      </c>
      <c r="H359" s="53"/>
      <c r="I359" s="53"/>
      <c r="J359" s="54"/>
      <c r="K359" s="54"/>
      <c r="L359" s="55"/>
      <c r="M359" s="54"/>
      <c r="N359" s="47"/>
      <c r="O359" s="56"/>
      <c r="P359" s="47"/>
      <c r="Q359" s="56"/>
      <c r="R359" s="57"/>
      <c r="S359" s="192">
        <f>E359*F359</f>
        <v>5507925.98862</v>
      </c>
      <c r="T359" s="68"/>
    </row>
    <row r="360" spans="2:20" ht="12" customHeight="1" x14ac:dyDescent="0.25">
      <c r="B360" s="47" t="s">
        <v>20</v>
      </c>
      <c r="C360" s="48" t="s">
        <v>21</v>
      </c>
      <c r="D360" s="49"/>
      <c r="E360" s="50"/>
      <c r="F360" s="51"/>
      <c r="G360" s="52" t="s">
        <v>22</v>
      </c>
      <c r="H360" s="53"/>
      <c r="I360" s="53"/>
      <c r="J360" s="54"/>
      <c r="K360" s="54"/>
      <c r="L360" s="55"/>
      <c r="M360" s="54"/>
      <c r="N360" s="47"/>
      <c r="O360" s="56"/>
      <c r="P360" s="47"/>
      <c r="Q360" s="56"/>
      <c r="R360" s="57"/>
      <c r="S360" s="192">
        <f>SUM(S359:S359)</f>
        <v>5507925.98862</v>
      </c>
      <c r="T360" s="68"/>
    </row>
    <row r="361" spans="2:20" ht="12" customHeight="1" x14ac:dyDescent="0.25">
      <c r="B361" s="150" t="s">
        <v>23</v>
      </c>
      <c r="C361" s="17"/>
      <c r="D361" s="61"/>
      <c r="E361" s="17"/>
      <c r="F361" s="17"/>
      <c r="G361" s="17" t="s">
        <v>24</v>
      </c>
      <c r="H361" s="17" t="s">
        <v>25</v>
      </c>
      <c r="I361" s="17" t="s">
        <v>26</v>
      </c>
      <c r="J361" s="62">
        <v>341</v>
      </c>
      <c r="K361" s="62" t="s">
        <v>27</v>
      </c>
      <c r="L361" s="63" t="s">
        <v>28</v>
      </c>
      <c r="M361" s="62" t="s">
        <v>29</v>
      </c>
      <c r="N361" s="60">
        <f>S360*0.5%</f>
        <v>27539.629943100001</v>
      </c>
      <c r="O361" s="65">
        <v>0.1115</v>
      </c>
      <c r="P361" s="60">
        <f>N361/(1-O361)</f>
        <v>30995.64428036016</v>
      </c>
      <c r="Q361" s="65">
        <v>6.1499999999999999E-2</v>
      </c>
      <c r="R361" s="66">
        <f>Q361*P361</f>
        <v>1906.2321232421498</v>
      </c>
      <c r="S361" s="193">
        <f>P361*(1-Q361)</f>
        <v>29089.412157118011</v>
      </c>
      <c r="T361" s="67" t="s">
        <v>77</v>
      </c>
    </row>
    <row r="362" spans="2:20" ht="12" customHeight="1" x14ac:dyDescent="0.25">
      <c r="B362" s="68" t="s">
        <v>23</v>
      </c>
      <c r="C362" s="69"/>
      <c r="D362" s="49"/>
      <c r="E362" s="69"/>
      <c r="F362" s="69"/>
      <c r="G362" s="69" t="s">
        <v>30</v>
      </c>
      <c r="H362" s="69" t="s">
        <v>25</v>
      </c>
      <c r="I362" s="69" t="s">
        <v>26</v>
      </c>
      <c r="J362" s="227">
        <v>341</v>
      </c>
      <c r="K362" s="227" t="s">
        <v>27</v>
      </c>
      <c r="L362" s="71" t="s">
        <v>28</v>
      </c>
      <c r="M362" s="227" t="s">
        <v>29</v>
      </c>
      <c r="N362" s="68">
        <f>S360*2%</f>
        <v>110158.5197724</v>
      </c>
      <c r="O362" s="73">
        <v>0.1115</v>
      </c>
      <c r="P362" s="68">
        <f>(N362/(1-O362))-P364</f>
        <v>110212.76214989064</v>
      </c>
      <c r="Q362" s="73">
        <v>6.1499999999999999E-2</v>
      </c>
      <c r="R362" s="74">
        <f>Q362*P362</f>
        <v>6778.0848722182745</v>
      </c>
      <c r="S362" s="194">
        <f>P362*(1-Q362)</f>
        <v>103434.67727767237</v>
      </c>
      <c r="T362" s="152" t="s">
        <v>72</v>
      </c>
    </row>
    <row r="363" spans="2:20" ht="12" customHeight="1" x14ac:dyDescent="0.25">
      <c r="B363" s="150" t="s">
        <v>23</v>
      </c>
      <c r="C363" s="17"/>
      <c r="D363" s="61"/>
      <c r="E363" s="17"/>
      <c r="F363" s="17"/>
      <c r="G363" s="17" t="s">
        <v>83</v>
      </c>
      <c r="H363" s="17" t="s">
        <v>25</v>
      </c>
      <c r="I363" s="17" t="s">
        <v>26</v>
      </c>
      <c r="J363" s="62">
        <v>341</v>
      </c>
      <c r="K363" s="62" t="s">
        <v>27</v>
      </c>
      <c r="L363" s="63" t="s">
        <v>28</v>
      </c>
      <c r="M363" s="62" t="s">
        <v>29</v>
      </c>
      <c r="N363" s="60">
        <f>S360*0.9%</f>
        <v>49571.333897580007</v>
      </c>
      <c r="O363" s="65">
        <v>0.1115</v>
      </c>
      <c r="P363" s="60">
        <f>N363/(1-O363)</f>
        <v>55792.159704648293</v>
      </c>
      <c r="Q363" s="65">
        <v>6.1499999999999999E-2</v>
      </c>
      <c r="R363" s="66">
        <f>Q363*P363</f>
        <v>3431.2178218358699</v>
      </c>
      <c r="S363" s="193">
        <f>P363*(1-Q363)</f>
        <v>52360.941882812425</v>
      </c>
      <c r="T363" s="67" t="s">
        <v>78</v>
      </c>
    </row>
    <row r="364" spans="2:20" ht="12" customHeight="1" x14ac:dyDescent="0.25">
      <c r="B364" s="68" t="s">
        <v>113</v>
      </c>
      <c r="C364" s="69"/>
      <c r="D364" s="49"/>
      <c r="E364" s="69"/>
      <c r="F364" s="69"/>
      <c r="G364" s="69" t="s">
        <v>102</v>
      </c>
      <c r="H364" s="69" t="s">
        <v>103</v>
      </c>
      <c r="I364" s="69" t="s">
        <v>104</v>
      </c>
      <c r="J364" s="227">
        <v>77</v>
      </c>
      <c r="K364" s="227" t="s">
        <v>105</v>
      </c>
      <c r="L364" s="71" t="s">
        <v>106</v>
      </c>
      <c r="M364" s="227">
        <v>40760111</v>
      </c>
      <c r="N364" s="68"/>
      <c r="O364" s="73"/>
      <c r="P364" s="68">
        <f>S360*0.25%</f>
        <v>13769.81497155</v>
      </c>
      <c r="Q364" s="73">
        <v>6.1499999999999999E-2</v>
      </c>
      <c r="R364" s="74">
        <f>Q364*P364</f>
        <v>846.84362075032504</v>
      </c>
      <c r="S364" s="194">
        <f>P364*(1-Q364)</f>
        <v>12922.971350799675</v>
      </c>
      <c r="T364" s="152" t="s">
        <v>107</v>
      </c>
    </row>
    <row r="365" spans="2:20" ht="12" customHeight="1" x14ac:dyDescent="0.2">
      <c r="G365" s="121" t="s">
        <v>51</v>
      </c>
      <c r="H365" s="121"/>
      <c r="I365" s="121"/>
      <c r="J365" s="266"/>
      <c r="K365" s="266"/>
      <c r="L365" s="266"/>
      <c r="M365" s="266"/>
      <c r="N365" s="122"/>
      <c r="O365" s="123"/>
      <c r="P365" s="122"/>
      <c r="Q365" s="123"/>
      <c r="R365" s="124"/>
      <c r="S365" s="195">
        <f>SUM(S366:S367)</f>
        <v>12962.378438046619</v>
      </c>
    </row>
    <row r="366" spans="2:20" ht="12" customHeight="1" x14ac:dyDescent="0.2">
      <c r="B366" s="227" t="s">
        <v>52</v>
      </c>
      <c r="C366" s="69"/>
      <c r="D366" s="125"/>
      <c r="E366" s="69"/>
      <c r="F366" s="69"/>
      <c r="G366" s="126" t="s">
        <v>53</v>
      </c>
      <c r="H366" s="69" t="s">
        <v>25</v>
      </c>
      <c r="I366" s="69" t="s">
        <v>26</v>
      </c>
      <c r="J366" s="267"/>
      <c r="K366" s="267"/>
      <c r="L366" s="267"/>
      <c r="M366" s="267"/>
      <c r="N366" s="68"/>
      <c r="O366" s="73"/>
      <c r="P366" s="127"/>
      <c r="Q366" s="73"/>
      <c r="R366" s="74"/>
      <c r="S366" s="194">
        <f>SUM(R361:R363)</f>
        <v>12115.534817296293</v>
      </c>
      <c r="T366" s="68"/>
    </row>
    <row r="367" spans="2:20" ht="12" customHeight="1" x14ac:dyDescent="0.2">
      <c r="B367" s="62" t="s">
        <v>52</v>
      </c>
      <c r="C367" s="17"/>
      <c r="D367" s="138"/>
      <c r="E367" s="17"/>
      <c r="F367" s="17"/>
      <c r="G367" s="139" t="s">
        <v>108</v>
      </c>
      <c r="H367" s="17" t="s">
        <v>103</v>
      </c>
      <c r="I367" s="17" t="s">
        <v>104</v>
      </c>
      <c r="J367" s="228"/>
      <c r="K367" s="228"/>
      <c r="L367" s="228"/>
      <c r="M367" s="228"/>
      <c r="N367" s="60"/>
      <c r="O367" s="65"/>
      <c r="P367" s="140"/>
      <c r="Q367" s="65"/>
      <c r="R367" s="137"/>
      <c r="S367" s="193">
        <f>SUM(R364)</f>
        <v>846.84362075032504</v>
      </c>
      <c r="T367" s="60"/>
    </row>
    <row r="368" spans="2:20" ht="12" customHeight="1" x14ac:dyDescent="0.2">
      <c r="B368" s="227" t="s">
        <v>23</v>
      </c>
      <c r="C368" s="69"/>
      <c r="D368" s="125"/>
      <c r="E368" s="69"/>
      <c r="F368" s="69"/>
      <c r="G368" s="69" t="s">
        <v>110</v>
      </c>
      <c r="H368" s="69" t="s">
        <v>46</v>
      </c>
      <c r="I368" s="69" t="s">
        <v>47</v>
      </c>
      <c r="J368" s="226">
        <v>341</v>
      </c>
      <c r="K368" s="226" t="s">
        <v>27</v>
      </c>
      <c r="L368" s="226" t="s">
        <v>76</v>
      </c>
      <c r="M368" s="226" t="s">
        <v>81</v>
      </c>
      <c r="N368" s="68"/>
      <c r="O368" s="73"/>
      <c r="P368" s="127"/>
      <c r="Q368" s="73"/>
      <c r="R368" s="74"/>
      <c r="S368" s="194">
        <f>S360-SUM(S361:S365)-S369</f>
        <v>5048743.5928385509</v>
      </c>
      <c r="T368" s="68"/>
    </row>
    <row r="369" spans="2:20" ht="12" customHeight="1" x14ac:dyDescent="0.2">
      <c r="B369" s="62" t="s">
        <v>23</v>
      </c>
      <c r="C369" s="17"/>
      <c r="D369" s="138"/>
      <c r="E369" s="17"/>
      <c r="F369" s="17"/>
      <c r="G369" s="17" t="s">
        <v>75</v>
      </c>
      <c r="H369" s="17" t="s">
        <v>46</v>
      </c>
      <c r="I369" s="17" t="s">
        <v>47</v>
      </c>
      <c r="J369" s="213">
        <v>341</v>
      </c>
      <c r="K369" s="213" t="s">
        <v>27</v>
      </c>
      <c r="L369" s="213" t="s">
        <v>76</v>
      </c>
      <c r="M369" s="213" t="s">
        <v>81</v>
      </c>
      <c r="N369" s="67"/>
      <c r="O369" s="65"/>
      <c r="P369" s="140"/>
      <c r="Q369" s="65"/>
      <c r="R369" s="137"/>
      <c r="S369" s="193">
        <f>6878619.27889938-6630207.26422438</f>
        <v>248412.01467499975</v>
      </c>
      <c r="T369" s="60"/>
    </row>
    <row r="370" spans="2:20" ht="12" customHeight="1" x14ac:dyDescent="0.2">
      <c r="B370" s="155"/>
      <c r="C370" s="156"/>
      <c r="D370" s="157"/>
      <c r="E370" s="156"/>
      <c r="F370" s="156"/>
      <c r="G370" s="158"/>
      <c r="H370" s="158"/>
      <c r="I370" s="158"/>
      <c r="J370" s="157"/>
      <c r="K370" s="157"/>
      <c r="L370" s="159"/>
      <c r="M370" s="159"/>
      <c r="N370" s="157"/>
      <c r="O370" s="157"/>
      <c r="P370" s="157"/>
      <c r="Q370" s="157"/>
      <c r="R370" s="160"/>
      <c r="S370" s="161"/>
      <c r="T370" s="162"/>
    </row>
    <row r="371" spans="2:20" ht="15" x14ac:dyDescent="0.25">
      <c r="B371" s="47" t="s">
        <v>20</v>
      </c>
      <c r="C371" s="48">
        <v>323</v>
      </c>
      <c r="D371" s="49">
        <v>44176</v>
      </c>
      <c r="E371" s="50">
        <v>1000</v>
      </c>
      <c r="F371" s="51">
        <v>9350</v>
      </c>
      <c r="G371" s="52" t="s">
        <v>20</v>
      </c>
      <c r="H371" s="53"/>
      <c r="I371" s="53"/>
      <c r="J371" s="54"/>
      <c r="K371" s="54"/>
      <c r="L371" s="55"/>
      <c r="M371" s="54"/>
      <c r="N371" s="47"/>
      <c r="O371" s="56"/>
      <c r="P371" s="47"/>
      <c r="Q371" s="56"/>
      <c r="R371" s="57"/>
      <c r="S371" s="192">
        <f>E371*F371</f>
        <v>9350000</v>
      </c>
      <c r="T371" s="68"/>
    </row>
    <row r="372" spans="2:20" ht="12" customHeight="1" x14ac:dyDescent="0.25">
      <c r="B372" s="47" t="s">
        <v>20</v>
      </c>
      <c r="C372" s="48" t="s">
        <v>21</v>
      </c>
      <c r="D372" s="49"/>
      <c r="E372" s="50"/>
      <c r="F372" s="51"/>
      <c r="G372" s="52" t="s">
        <v>22</v>
      </c>
      <c r="H372" s="53"/>
      <c r="I372" s="53"/>
      <c r="J372" s="54"/>
      <c r="K372" s="54"/>
      <c r="L372" s="55"/>
      <c r="M372" s="54"/>
      <c r="N372" s="47"/>
      <c r="O372" s="56"/>
      <c r="P372" s="47"/>
      <c r="Q372" s="56"/>
      <c r="R372" s="57"/>
      <c r="S372" s="192">
        <f>SUM(S371:S371)</f>
        <v>9350000</v>
      </c>
      <c r="T372" s="68"/>
    </row>
    <row r="373" spans="2:20" ht="12" customHeight="1" x14ac:dyDescent="0.25">
      <c r="B373" s="150" t="s">
        <v>23</v>
      </c>
      <c r="C373" s="17"/>
      <c r="D373" s="61"/>
      <c r="E373" s="17"/>
      <c r="F373" s="17"/>
      <c r="G373" s="17" t="s">
        <v>24</v>
      </c>
      <c r="H373" s="17" t="s">
        <v>25</v>
      </c>
      <c r="I373" s="17" t="s">
        <v>26</v>
      </c>
      <c r="J373" s="62">
        <v>341</v>
      </c>
      <c r="K373" s="62" t="s">
        <v>27</v>
      </c>
      <c r="L373" s="63" t="s">
        <v>28</v>
      </c>
      <c r="M373" s="62" t="s">
        <v>29</v>
      </c>
      <c r="N373" s="60">
        <f>S372*0.5%</f>
        <v>46750</v>
      </c>
      <c r="O373" s="65">
        <v>0.1115</v>
      </c>
      <c r="P373" s="60">
        <f>N373/(1-O373)</f>
        <v>52616.769836803607</v>
      </c>
      <c r="Q373" s="65">
        <v>6.1499999999999999E-2</v>
      </c>
      <c r="R373" s="66">
        <f>Q373*P373</f>
        <v>3235.9313449634219</v>
      </c>
      <c r="S373" s="193">
        <f>P373*(1-Q373)</f>
        <v>49380.838491840186</v>
      </c>
      <c r="T373" s="67" t="s">
        <v>77</v>
      </c>
    </row>
    <row r="374" spans="2:20" ht="12" customHeight="1" x14ac:dyDescent="0.25">
      <c r="B374" s="68" t="s">
        <v>23</v>
      </c>
      <c r="C374" s="69"/>
      <c r="D374" s="49"/>
      <c r="E374" s="69"/>
      <c r="F374" s="69"/>
      <c r="G374" s="69" t="s">
        <v>30</v>
      </c>
      <c r="H374" s="69" t="s">
        <v>25</v>
      </c>
      <c r="I374" s="69" t="s">
        <v>26</v>
      </c>
      <c r="J374" s="231">
        <v>341</v>
      </c>
      <c r="K374" s="231" t="s">
        <v>27</v>
      </c>
      <c r="L374" s="71" t="s">
        <v>28</v>
      </c>
      <c r="M374" s="231" t="s">
        <v>29</v>
      </c>
      <c r="N374" s="68">
        <f>S372*2%</f>
        <v>187000</v>
      </c>
      <c r="O374" s="73">
        <v>0.1115</v>
      </c>
      <c r="P374" s="68">
        <f>(N374/(1-O374))-P376</f>
        <v>187092.07934721443</v>
      </c>
      <c r="Q374" s="73">
        <v>6.1499999999999999E-2</v>
      </c>
      <c r="R374" s="74">
        <f>Q374*P374</f>
        <v>11506.162879853688</v>
      </c>
      <c r="S374" s="194">
        <f>P374*(1-Q374)</f>
        <v>175585.91646736074</v>
      </c>
      <c r="T374" s="152" t="s">
        <v>72</v>
      </c>
    </row>
    <row r="375" spans="2:20" ht="12" customHeight="1" x14ac:dyDescent="0.25">
      <c r="B375" s="150" t="s">
        <v>23</v>
      </c>
      <c r="C375" s="17"/>
      <c r="D375" s="61"/>
      <c r="E375" s="17"/>
      <c r="F375" s="17"/>
      <c r="G375" s="17" t="s">
        <v>83</v>
      </c>
      <c r="H375" s="17" t="s">
        <v>25</v>
      </c>
      <c r="I375" s="17" t="s">
        <v>26</v>
      </c>
      <c r="J375" s="62">
        <v>341</v>
      </c>
      <c r="K375" s="62" t="s">
        <v>27</v>
      </c>
      <c r="L375" s="63" t="s">
        <v>28</v>
      </c>
      <c r="M375" s="62" t="s">
        <v>29</v>
      </c>
      <c r="N375" s="60">
        <f>S372*0.9%</f>
        <v>84150.000000000015</v>
      </c>
      <c r="O375" s="65">
        <v>0.1115</v>
      </c>
      <c r="P375" s="60">
        <f>N375/(1-O375)</f>
        <v>94710.185706246499</v>
      </c>
      <c r="Q375" s="65">
        <v>6.1499999999999999E-2</v>
      </c>
      <c r="R375" s="66">
        <f>Q375*P375</f>
        <v>5824.67642093416</v>
      </c>
      <c r="S375" s="193">
        <f>P375*(1-Q375)</f>
        <v>88885.509285312335</v>
      </c>
      <c r="T375" s="67" t="s">
        <v>78</v>
      </c>
    </row>
    <row r="376" spans="2:20" ht="12" customHeight="1" x14ac:dyDescent="0.25">
      <c r="B376" s="68" t="s">
        <v>113</v>
      </c>
      <c r="C376" s="69"/>
      <c r="D376" s="49"/>
      <c r="E376" s="69"/>
      <c r="F376" s="69"/>
      <c r="G376" s="69" t="s">
        <v>102</v>
      </c>
      <c r="H376" s="69" t="s">
        <v>103</v>
      </c>
      <c r="I376" s="69" t="s">
        <v>104</v>
      </c>
      <c r="J376" s="231">
        <v>77</v>
      </c>
      <c r="K376" s="231" t="s">
        <v>105</v>
      </c>
      <c r="L376" s="71" t="s">
        <v>106</v>
      </c>
      <c r="M376" s="231">
        <v>40760111</v>
      </c>
      <c r="N376" s="68"/>
      <c r="O376" s="73"/>
      <c r="P376" s="68">
        <f>S372*0.25%</f>
        <v>23375</v>
      </c>
      <c r="Q376" s="73">
        <v>6.1499999999999999E-2</v>
      </c>
      <c r="R376" s="74">
        <f>Q376*P376</f>
        <v>1437.5625</v>
      </c>
      <c r="S376" s="194">
        <f>P376*(1-Q376)</f>
        <v>21937.4375</v>
      </c>
      <c r="T376" s="152" t="s">
        <v>107</v>
      </c>
    </row>
    <row r="377" spans="2:20" ht="12" customHeight="1" x14ac:dyDescent="0.2">
      <c r="G377" s="121" t="s">
        <v>51</v>
      </c>
      <c r="H377" s="121"/>
      <c r="I377" s="121"/>
      <c r="J377" s="266"/>
      <c r="K377" s="266"/>
      <c r="L377" s="266"/>
      <c r="M377" s="266"/>
      <c r="N377" s="122"/>
      <c r="O377" s="123"/>
      <c r="P377" s="122"/>
      <c r="Q377" s="123"/>
      <c r="R377" s="124"/>
      <c r="S377" s="195">
        <f>SUM(S378:S379)</f>
        <v>22004.333145751269</v>
      </c>
    </row>
    <row r="378" spans="2:20" ht="12" customHeight="1" x14ac:dyDescent="0.2">
      <c r="B378" s="231" t="s">
        <v>52</v>
      </c>
      <c r="C378" s="69"/>
      <c r="D378" s="125"/>
      <c r="E378" s="69"/>
      <c r="F378" s="69"/>
      <c r="G378" s="126" t="s">
        <v>53</v>
      </c>
      <c r="H378" s="69" t="s">
        <v>25</v>
      </c>
      <c r="I378" s="69" t="s">
        <v>26</v>
      </c>
      <c r="J378" s="267"/>
      <c r="K378" s="267"/>
      <c r="L378" s="267"/>
      <c r="M378" s="267"/>
      <c r="N378" s="68"/>
      <c r="O378" s="73"/>
      <c r="P378" s="127"/>
      <c r="Q378" s="73"/>
      <c r="R378" s="74"/>
      <c r="S378" s="194">
        <f>SUM(R373:R375)</f>
        <v>20566.770645751269</v>
      </c>
      <c r="T378" s="68"/>
    </row>
    <row r="379" spans="2:20" ht="12" customHeight="1" x14ac:dyDescent="0.2">
      <c r="B379" s="62" t="s">
        <v>52</v>
      </c>
      <c r="C379" s="17"/>
      <c r="D379" s="138"/>
      <c r="E379" s="17"/>
      <c r="F379" s="17"/>
      <c r="G379" s="139" t="s">
        <v>108</v>
      </c>
      <c r="H379" s="17" t="s">
        <v>103</v>
      </c>
      <c r="I379" s="17" t="s">
        <v>104</v>
      </c>
      <c r="J379" s="230"/>
      <c r="K379" s="230"/>
      <c r="L379" s="230"/>
      <c r="M379" s="230"/>
      <c r="N379" s="60"/>
      <c r="O379" s="65"/>
      <c r="P379" s="140"/>
      <c r="Q379" s="65"/>
      <c r="R379" s="137"/>
      <c r="S379" s="193">
        <f>SUM(R376)</f>
        <v>1437.5625</v>
      </c>
      <c r="T379" s="60"/>
    </row>
    <row r="380" spans="2:20" ht="12" customHeight="1" x14ac:dyDescent="0.2">
      <c r="B380" s="231" t="s">
        <v>23</v>
      </c>
      <c r="C380" s="69"/>
      <c r="D380" s="125"/>
      <c r="E380" s="69"/>
      <c r="F380" s="69"/>
      <c r="G380" s="69" t="s">
        <v>110</v>
      </c>
      <c r="H380" s="69" t="s">
        <v>46</v>
      </c>
      <c r="I380" s="69" t="s">
        <v>47</v>
      </c>
      <c r="J380" s="229">
        <v>341</v>
      </c>
      <c r="K380" s="229" t="s">
        <v>27</v>
      </c>
      <c r="L380" s="229" t="s">
        <v>76</v>
      </c>
      <c r="M380" s="229" t="s">
        <v>81</v>
      </c>
      <c r="N380" s="68"/>
      <c r="O380" s="73"/>
      <c r="P380" s="127"/>
      <c r="Q380" s="73"/>
      <c r="R380" s="74"/>
      <c r="S380" s="194">
        <f>S372-SUM(S373:S377)-S381</f>
        <v>8421441.9724005759</v>
      </c>
      <c r="T380" s="68"/>
    </row>
    <row r="381" spans="2:20" ht="12" customHeight="1" x14ac:dyDescent="0.2">
      <c r="B381" s="62" t="s">
        <v>23</v>
      </c>
      <c r="C381" s="17"/>
      <c r="D381" s="138"/>
      <c r="E381" s="17"/>
      <c r="F381" s="17"/>
      <c r="G381" s="17" t="s">
        <v>75</v>
      </c>
      <c r="H381" s="17" t="s">
        <v>46</v>
      </c>
      <c r="I381" s="17" t="s">
        <v>47</v>
      </c>
      <c r="J381" s="213">
        <v>341</v>
      </c>
      <c r="K381" s="213" t="s">
        <v>27</v>
      </c>
      <c r="L381" s="213" t="s">
        <v>76</v>
      </c>
      <c r="M381" s="213" t="s">
        <v>81</v>
      </c>
      <c r="N381" s="67"/>
      <c r="O381" s="65"/>
      <c r="P381" s="140"/>
      <c r="Q381" s="65"/>
      <c r="R381" s="137"/>
      <c r="S381" s="193">
        <v>570763.99270915985</v>
      </c>
      <c r="T381" s="60"/>
    </row>
    <row r="382" spans="2:20" ht="12" customHeight="1" x14ac:dyDescent="0.2">
      <c r="B382" s="155"/>
      <c r="C382" s="156"/>
      <c r="D382" s="157"/>
      <c r="E382" s="156"/>
      <c r="F382" s="156"/>
      <c r="G382" s="158"/>
      <c r="H382" s="158"/>
      <c r="I382" s="158"/>
      <c r="J382" s="157"/>
      <c r="K382" s="157"/>
      <c r="L382" s="159"/>
      <c r="M382" s="159"/>
      <c r="N382" s="157"/>
      <c r="O382" s="157"/>
      <c r="P382" s="157"/>
      <c r="Q382" s="157"/>
      <c r="R382" s="160"/>
      <c r="S382" s="161"/>
      <c r="T382" s="162"/>
    </row>
    <row r="383" spans="2:20" ht="15" x14ac:dyDescent="0.25">
      <c r="B383" s="47" t="s">
        <v>20</v>
      </c>
      <c r="C383" s="48">
        <v>317</v>
      </c>
      <c r="D383" s="49">
        <v>44186</v>
      </c>
      <c r="E383" s="50">
        <v>947.21049095000001</v>
      </c>
      <c r="F383" s="51">
        <v>3946</v>
      </c>
      <c r="G383" s="52" t="s">
        <v>20</v>
      </c>
      <c r="H383" s="53"/>
      <c r="I383" s="53"/>
      <c r="J383" s="54"/>
      <c r="K383" s="54"/>
      <c r="L383" s="55"/>
      <c r="M383" s="54"/>
      <c r="N383" s="47"/>
      <c r="O383" s="56"/>
      <c r="P383" s="47"/>
      <c r="Q383" s="56"/>
      <c r="R383" s="57"/>
      <c r="S383" s="192">
        <f>E383*F383</f>
        <v>3737692.5972886998</v>
      </c>
      <c r="T383" s="68"/>
    </row>
    <row r="384" spans="2:20" ht="15" x14ac:dyDescent="0.25">
      <c r="B384" s="47" t="s">
        <v>20</v>
      </c>
      <c r="C384" s="48">
        <v>320</v>
      </c>
      <c r="D384" s="49">
        <v>44186</v>
      </c>
      <c r="E384" s="50">
        <v>1000</v>
      </c>
      <c r="F384" s="51">
        <v>7700</v>
      </c>
      <c r="G384" s="52" t="s">
        <v>20</v>
      </c>
      <c r="H384" s="53"/>
      <c r="I384" s="53"/>
      <c r="J384" s="54"/>
      <c r="K384" s="54"/>
      <c r="L384" s="55"/>
      <c r="M384" s="54"/>
      <c r="N384" s="47"/>
      <c r="O384" s="56"/>
      <c r="P384" s="47"/>
      <c r="Q384" s="56"/>
      <c r="R384" s="57"/>
      <c r="S384" s="192">
        <f>E384*F384</f>
        <v>7700000</v>
      </c>
      <c r="T384" s="68"/>
    </row>
    <row r="385" spans="2:22" ht="12" customHeight="1" x14ac:dyDescent="0.25">
      <c r="B385" s="47" t="s">
        <v>20</v>
      </c>
      <c r="C385" s="48" t="s">
        <v>21</v>
      </c>
      <c r="D385" s="49"/>
      <c r="E385" s="50"/>
      <c r="F385" s="51"/>
      <c r="G385" s="52" t="s">
        <v>22</v>
      </c>
      <c r="H385" s="53"/>
      <c r="I385" s="53"/>
      <c r="J385" s="54"/>
      <c r="K385" s="54"/>
      <c r="L385" s="55"/>
      <c r="M385" s="54"/>
      <c r="N385" s="47"/>
      <c r="O385" s="56"/>
      <c r="P385" s="47"/>
      <c r="Q385" s="56"/>
      <c r="R385" s="57"/>
      <c r="S385" s="192">
        <f>SUM(S383:S384)</f>
        <v>11437692.5972887</v>
      </c>
      <c r="T385" s="68"/>
    </row>
    <row r="386" spans="2:22" ht="12" customHeight="1" x14ac:dyDescent="0.25">
      <c r="B386" s="150" t="s">
        <v>23</v>
      </c>
      <c r="C386" s="17"/>
      <c r="D386" s="61"/>
      <c r="E386" s="17"/>
      <c r="F386" s="17"/>
      <c r="G386" s="17" t="s">
        <v>24</v>
      </c>
      <c r="H386" s="17" t="s">
        <v>25</v>
      </c>
      <c r="I386" s="17" t="s">
        <v>26</v>
      </c>
      <c r="J386" s="62">
        <v>341</v>
      </c>
      <c r="K386" s="62" t="s">
        <v>27</v>
      </c>
      <c r="L386" s="63" t="s">
        <v>28</v>
      </c>
      <c r="M386" s="62" t="s">
        <v>29</v>
      </c>
      <c r="N386" s="60">
        <f>S385*0.5%</f>
        <v>57188.462986443497</v>
      </c>
      <c r="O386" s="65">
        <v>0.1115</v>
      </c>
      <c r="P386" s="60">
        <f>N386/(1-O386)</f>
        <v>64365.18062627293</v>
      </c>
      <c r="Q386" s="65">
        <v>6.1499999999999999E-2</v>
      </c>
      <c r="R386" s="66">
        <f>Q386*P386</f>
        <v>3958.4586085157853</v>
      </c>
      <c r="S386" s="193">
        <f>P386*(1-Q386)</f>
        <v>60406.722017757143</v>
      </c>
      <c r="T386" s="67" t="s">
        <v>77</v>
      </c>
    </row>
    <row r="387" spans="2:22" ht="12" customHeight="1" x14ac:dyDescent="0.25">
      <c r="B387" s="68" t="s">
        <v>23</v>
      </c>
      <c r="C387" s="69"/>
      <c r="D387" s="49"/>
      <c r="E387" s="69"/>
      <c r="F387" s="69"/>
      <c r="G387" s="69" t="s">
        <v>30</v>
      </c>
      <c r="H387" s="69" t="s">
        <v>25</v>
      </c>
      <c r="I387" s="69" t="s">
        <v>26</v>
      </c>
      <c r="J387" s="234">
        <v>341</v>
      </c>
      <c r="K387" s="234" t="s">
        <v>27</v>
      </c>
      <c r="L387" s="71" t="s">
        <v>28</v>
      </c>
      <c r="M387" s="234" t="s">
        <v>29</v>
      </c>
      <c r="N387" s="68">
        <f>S385*2%</f>
        <v>228753.85194577399</v>
      </c>
      <c r="O387" s="73">
        <v>0.1115</v>
      </c>
      <c r="P387" s="68">
        <f>(N387/(1-O387))-P389</f>
        <v>228866.49101186998</v>
      </c>
      <c r="Q387" s="73">
        <v>6.1499999999999999E-2</v>
      </c>
      <c r="R387" s="74">
        <f>Q387*P387</f>
        <v>14075.289197230004</v>
      </c>
      <c r="S387" s="194">
        <f>P387*(1-Q387)</f>
        <v>214791.20181463996</v>
      </c>
      <c r="T387" s="152" t="s">
        <v>72</v>
      </c>
    </row>
    <row r="388" spans="2:22" ht="12" customHeight="1" x14ac:dyDescent="0.25">
      <c r="B388" s="150" t="s">
        <v>23</v>
      </c>
      <c r="C388" s="17"/>
      <c r="D388" s="61"/>
      <c r="E388" s="17"/>
      <c r="F388" s="17"/>
      <c r="G388" s="17" t="s">
        <v>83</v>
      </c>
      <c r="H388" s="17" t="s">
        <v>25</v>
      </c>
      <c r="I388" s="17" t="s">
        <v>26</v>
      </c>
      <c r="J388" s="62">
        <v>341</v>
      </c>
      <c r="K388" s="62" t="s">
        <v>27</v>
      </c>
      <c r="L388" s="63" t="s">
        <v>28</v>
      </c>
      <c r="M388" s="62" t="s">
        <v>29</v>
      </c>
      <c r="N388" s="60">
        <f>S385*0.9%</f>
        <v>102939.23337559831</v>
      </c>
      <c r="O388" s="65">
        <v>0.1115</v>
      </c>
      <c r="P388" s="60">
        <f>N388/(1-O388)</f>
        <v>115857.3251272913</v>
      </c>
      <c r="Q388" s="65">
        <v>6.1499999999999999E-2</v>
      </c>
      <c r="R388" s="66">
        <f>Q388*P388</f>
        <v>7125.2254953284155</v>
      </c>
      <c r="S388" s="193">
        <f>P388*(1-Q388)</f>
        <v>108732.09963196289</v>
      </c>
      <c r="T388" s="67" t="s">
        <v>78</v>
      </c>
    </row>
    <row r="389" spans="2:22" ht="12" customHeight="1" x14ac:dyDescent="0.25">
      <c r="B389" s="68" t="s">
        <v>113</v>
      </c>
      <c r="C389" s="69"/>
      <c r="D389" s="49"/>
      <c r="E389" s="69"/>
      <c r="F389" s="69"/>
      <c r="G389" s="69" t="s">
        <v>102</v>
      </c>
      <c r="H389" s="69" t="s">
        <v>103</v>
      </c>
      <c r="I389" s="69" t="s">
        <v>104</v>
      </c>
      <c r="J389" s="234">
        <v>77</v>
      </c>
      <c r="K389" s="234" t="s">
        <v>105</v>
      </c>
      <c r="L389" s="71" t="s">
        <v>106</v>
      </c>
      <c r="M389" s="234">
        <v>40760111</v>
      </c>
      <c r="N389" s="68"/>
      <c r="O389" s="73"/>
      <c r="P389" s="68">
        <f>S385*0.25%</f>
        <v>28594.231493221749</v>
      </c>
      <c r="Q389" s="73">
        <v>6.1499999999999999E-2</v>
      </c>
      <c r="R389" s="74">
        <f>Q389*P389</f>
        <v>1758.5452368331376</v>
      </c>
      <c r="S389" s="194">
        <f>P389*(1-Q389)</f>
        <v>26835.68625638861</v>
      </c>
      <c r="T389" s="152" t="s">
        <v>107</v>
      </c>
    </row>
    <row r="390" spans="2:22" ht="12" customHeight="1" x14ac:dyDescent="0.2">
      <c r="G390" s="121" t="s">
        <v>51</v>
      </c>
      <c r="H390" s="121"/>
      <c r="I390" s="121"/>
      <c r="J390" s="266"/>
      <c r="K390" s="266"/>
      <c r="L390" s="266"/>
      <c r="M390" s="266"/>
      <c r="N390" s="122"/>
      <c r="O390" s="123"/>
      <c r="P390" s="122"/>
      <c r="Q390" s="123"/>
      <c r="R390" s="124"/>
      <c r="S390" s="195">
        <f>SUM(S391:S392)</f>
        <v>26917.518537907345</v>
      </c>
    </row>
    <row r="391" spans="2:22" ht="12" customHeight="1" x14ac:dyDescent="0.2">
      <c r="B391" s="234" t="s">
        <v>52</v>
      </c>
      <c r="C391" s="69"/>
      <c r="D391" s="125"/>
      <c r="E391" s="69"/>
      <c r="F391" s="69"/>
      <c r="G391" s="126" t="s">
        <v>53</v>
      </c>
      <c r="H391" s="69" t="s">
        <v>25</v>
      </c>
      <c r="I391" s="69" t="s">
        <v>26</v>
      </c>
      <c r="J391" s="267"/>
      <c r="K391" s="267"/>
      <c r="L391" s="267"/>
      <c r="M391" s="267"/>
      <c r="N391" s="68"/>
      <c r="O391" s="73"/>
      <c r="P391" s="127"/>
      <c r="Q391" s="73"/>
      <c r="R391" s="74"/>
      <c r="S391" s="194">
        <f>SUM(R386:R388)</f>
        <v>25158.973301074206</v>
      </c>
      <c r="T391" s="68"/>
    </row>
    <row r="392" spans="2:22" ht="12" customHeight="1" x14ac:dyDescent="0.2">
      <c r="B392" s="62" t="s">
        <v>52</v>
      </c>
      <c r="C392" s="17"/>
      <c r="D392" s="138"/>
      <c r="E392" s="17"/>
      <c r="F392" s="17"/>
      <c r="G392" s="139" t="s">
        <v>108</v>
      </c>
      <c r="H392" s="17" t="s">
        <v>103</v>
      </c>
      <c r="I392" s="17" t="s">
        <v>104</v>
      </c>
      <c r="J392" s="233"/>
      <c r="K392" s="233"/>
      <c r="L392" s="233"/>
      <c r="M392" s="233"/>
      <c r="N392" s="60"/>
      <c r="O392" s="65"/>
      <c r="P392" s="140"/>
      <c r="Q392" s="65"/>
      <c r="R392" s="137"/>
      <c r="S392" s="193">
        <f>SUM(R389)</f>
        <v>1758.5452368331376</v>
      </c>
      <c r="T392" s="60"/>
    </row>
    <row r="393" spans="2:22" ht="12" customHeight="1" x14ac:dyDescent="0.2">
      <c r="B393" s="234" t="s">
        <v>23</v>
      </c>
      <c r="C393" s="69"/>
      <c r="D393" s="125"/>
      <c r="E393" s="69"/>
      <c r="F393" s="69"/>
      <c r="G393" s="69" t="s">
        <v>110</v>
      </c>
      <c r="H393" s="69" t="s">
        <v>46</v>
      </c>
      <c r="I393" s="69" t="s">
        <v>47</v>
      </c>
      <c r="J393" s="232">
        <v>341</v>
      </c>
      <c r="K393" s="232" t="s">
        <v>27</v>
      </c>
      <c r="L393" s="232" t="s">
        <v>76</v>
      </c>
      <c r="M393" s="232" t="s">
        <v>81</v>
      </c>
      <c r="N393" s="68"/>
      <c r="O393" s="73"/>
      <c r="P393" s="127"/>
      <c r="Q393" s="73"/>
      <c r="R393" s="74"/>
      <c r="S393" s="194">
        <f>S385-SUM(S386:S390)-S394</f>
        <v>10376926.469030043</v>
      </c>
      <c r="T393" s="68"/>
    </row>
    <row r="394" spans="2:22" ht="12" customHeight="1" x14ac:dyDescent="0.2">
      <c r="B394" s="62" t="s">
        <v>23</v>
      </c>
      <c r="C394" s="17"/>
      <c r="D394" s="138"/>
      <c r="E394" s="17"/>
      <c r="F394" s="17"/>
      <c r="G394" s="17" t="s">
        <v>75</v>
      </c>
      <c r="H394" s="17" t="s">
        <v>46</v>
      </c>
      <c r="I394" s="17" t="s">
        <v>47</v>
      </c>
      <c r="J394" s="213">
        <v>341</v>
      </c>
      <c r="K394" s="213" t="s">
        <v>27</v>
      </c>
      <c r="L394" s="213" t="s">
        <v>76</v>
      </c>
      <c r="M394" s="213" t="s">
        <v>81</v>
      </c>
      <c r="N394" s="67"/>
      <c r="O394" s="65"/>
      <c r="P394" s="140"/>
      <c r="Q394" s="65"/>
      <c r="R394" s="137"/>
      <c r="S394" s="193">
        <v>623082.9</v>
      </c>
      <c r="T394" s="60"/>
    </row>
    <row r="395" spans="2:22" ht="12" customHeight="1" x14ac:dyDescent="0.2">
      <c r="B395" s="155"/>
      <c r="C395" s="156"/>
      <c r="D395" s="157"/>
      <c r="E395" s="156"/>
      <c r="F395" s="156"/>
      <c r="G395" s="158"/>
      <c r="H395" s="158"/>
      <c r="I395" s="158"/>
      <c r="J395" s="157"/>
      <c r="K395" s="157"/>
      <c r="L395" s="159"/>
      <c r="M395" s="159"/>
      <c r="N395" s="157"/>
      <c r="O395" s="157"/>
      <c r="P395" s="157"/>
      <c r="Q395" s="157"/>
      <c r="R395" s="160"/>
      <c r="S395" s="161"/>
      <c r="T395" s="162"/>
    </row>
    <row r="396" spans="2:22" ht="15" x14ac:dyDescent="0.25">
      <c r="B396" s="47" t="s">
        <v>20</v>
      </c>
      <c r="C396" s="48">
        <v>326</v>
      </c>
      <c r="D396" s="49">
        <v>44209</v>
      </c>
      <c r="E396" s="50">
        <v>1000</v>
      </c>
      <c r="F396" s="51">
        <v>3000</v>
      </c>
      <c r="G396" s="52" t="s">
        <v>20</v>
      </c>
      <c r="H396" s="53"/>
      <c r="I396" s="53"/>
      <c r="J396" s="54"/>
      <c r="K396" s="54"/>
      <c r="L396" s="55"/>
      <c r="M396" s="54"/>
      <c r="N396" s="47"/>
      <c r="O396" s="56"/>
      <c r="P396" s="47"/>
      <c r="Q396" s="56"/>
      <c r="R396" s="57"/>
      <c r="S396" s="192">
        <f>E396*F396</f>
        <v>3000000</v>
      </c>
      <c r="T396" s="68"/>
    </row>
    <row r="397" spans="2:22" ht="12" customHeight="1" x14ac:dyDescent="0.25">
      <c r="B397" s="47" t="s">
        <v>20</v>
      </c>
      <c r="C397" s="48" t="s">
        <v>21</v>
      </c>
      <c r="D397" s="49"/>
      <c r="E397" s="50"/>
      <c r="F397" s="51"/>
      <c r="G397" s="52" t="s">
        <v>22</v>
      </c>
      <c r="H397" s="53"/>
      <c r="I397" s="53"/>
      <c r="J397" s="54"/>
      <c r="K397" s="54"/>
      <c r="L397" s="55"/>
      <c r="M397" s="54"/>
      <c r="N397" s="47"/>
      <c r="O397" s="56"/>
      <c r="P397" s="47"/>
      <c r="Q397" s="56"/>
      <c r="R397" s="57"/>
      <c r="S397" s="192">
        <f>SUM(S396:S396)</f>
        <v>3000000</v>
      </c>
      <c r="T397" s="68"/>
      <c r="V397" s="241"/>
    </row>
    <row r="398" spans="2:22" ht="12" customHeight="1" x14ac:dyDescent="0.25">
      <c r="B398" s="150" t="s">
        <v>23</v>
      </c>
      <c r="C398" s="17"/>
      <c r="D398" s="61"/>
      <c r="E398" s="17"/>
      <c r="F398" s="17"/>
      <c r="G398" s="17" t="s">
        <v>24</v>
      </c>
      <c r="H398" s="17" t="s">
        <v>25</v>
      </c>
      <c r="I398" s="17" t="s">
        <v>26</v>
      </c>
      <c r="J398" s="62">
        <v>341</v>
      </c>
      <c r="K398" s="62" t="s">
        <v>27</v>
      </c>
      <c r="L398" s="63" t="s">
        <v>28</v>
      </c>
      <c r="M398" s="62" t="s">
        <v>29</v>
      </c>
      <c r="N398" s="60">
        <f>S397*0.5%</f>
        <v>15000</v>
      </c>
      <c r="O398" s="65">
        <v>0.1115</v>
      </c>
      <c r="P398" s="60">
        <f>N398/(1-O398)</f>
        <v>16882.386043894203</v>
      </c>
      <c r="Q398" s="65">
        <v>6.1499999999999999E-2</v>
      </c>
      <c r="R398" s="66">
        <f>Q398*P398</f>
        <v>1038.2667416994934</v>
      </c>
      <c r="S398" s="193">
        <f>P398*(1-Q398)</f>
        <v>15844.119302194709</v>
      </c>
      <c r="T398" s="67" t="s">
        <v>77</v>
      </c>
    </row>
    <row r="399" spans="2:22" ht="12" customHeight="1" x14ac:dyDescent="0.25">
      <c r="B399" s="68" t="s">
        <v>23</v>
      </c>
      <c r="C399" s="69"/>
      <c r="D399" s="49"/>
      <c r="E399" s="69"/>
      <c r="F399" s="69"/>
      <c r="G399" s="69" t="s">
        <v>30</v>
      </c>
      <c r="H399" s="69" t="s">
        <v>25</v>
      </c>
      <c r="I399" s="69" t="s">
        <v>26</v>
      </c>
      <c r="J399" s="236">
        <v>341</v>
      </c>
      <c r="K399" s="236" t="s">
        <v>27</v>
      </c>
      <c r="L399" s="71" t="s">
        <v>28</v>
      </c>
      <c r="M399" s="236" t="s">
        <v>29</v>
      </c>
      <c r="N399" s="68">
        <f>S397*2%</f>
        <v>60000</v>
      </c>
      <c r="O399" s="73">
        <v>0.1115</v>
      </c>
      <c r="P399" s="68">
        <f>(N399/(1-O399))-P401</f>
        <v>60029.544175576812</v>
      </c>
      <c r="Q399" s="73">
        <v>6.1499999999999999E-2</v>
      </c>
      <c r="R399" s="74">
        <f>Q399*P399</f>
        <v>3691.8169667979737</v>
      </c>
      <c r="S399" s="194">
        <f>P399*(1-Q399)</f>
        <v>56337.727208778837</v>
      </c>
      <c r="T399" s="152" t="s">
        <v>72</v>
      </c>
    </row>
    <row r="400" spans="2:22" ht="12" customHeight="1" x14ac:dyDescent="0.25">
      <c r="B400" s="150" t="s">
        <v>23</v>
      </c>
      <c r="C400" s="17"/>
      <c r="D400" s="61"/>
      <c r="E400" s="17"/>
      <c r="F400" s="17"/>
      <c r="G400" s="17" t="s">
        <v>83</v>
      </c>
      <c r="H400" s="17" t="s">
        <v>25</v>
      </c>
      <c r="I400" s="17" t="s">
        <v>26</v>
      </c>
      <c r="J400" s="62">
        <v>341</v>
      </c>
      <c r="K400" s="62" t="s">
        <v>27</v>
      </c>
      <c r="L400" s="63" t="s">
        <v>28</v>
      </c>
      <c r="M400" s="62" t="s">
        <v>29</v>
      </c>
      <c r="N400" s="60">
        <f>S397*0.9%</f>
        <v>27000.000000000004</v>
      </c>
      <c r="O400" s="65">
        <v>0.1115</v>
      </c>
      <c r="P400" s="60">
        <f>N400/(1-O400)</f>
        <v>30388.294879009572</v>
      </c>
      <c r="Q400" s="65">
        <v>6.1499999999999999E-2</v>
      </c>
      <c r="R400" s="66">
        <f>Q400*P400</f>
        <v>1868.8801350590886</v>
      </c>
      <c r="S400" s="193">
        <f>P400*(1-Q400)</f>
        <v>28519.414743950485</v>
      </c>
      <c r="T400" s="67" t="s">
        <v>78</v>
      </c>
    </row>
    <row r="401" spans="2:22" ht="12" customHeight="1" x14ac:dyDescent="0.25">
      <c r="B401" s="68" t="s">
        <v>113</v>
      </c>
      <c r="C401" s="69"/>
      <c r="D401" s="49"/>
      <c r="E401" s="69"/>
      <c r="F401" s="69"/>
      <c r="G401" s="69" t="s">
        <v>102</v>
      </c>
      <c r="H401" s="69" t="s">
        <v>103</v>
      </c>
      <c r="I401" s="69" t="s">
        <v>104</v>
      </c>
      <c r="J401" s="236">
        <v>77</v>
      </c>
      <c r="K401" s="236" t="s">
        <v>105</v>
      </c>
      <c r="L401" s="71" t="s">
        <v>106</v>
      </c>
      <c r="M401" s="236">
        <v>40760111</v>
      </c>
      <c r="N401" s="68"/>
      <c r="O401" s="73"/>
      <c r="P401" s="68">
        <f>S397*0.25%</f>
        <v>7500</v>
      </c>
      <c r="Q401" s="73">
        <v>6.1499999999999999E-2</v>
      </c>
      <c r="R401" s="74">
        <f>Q401*P401</f>
        <v>461.25</v>
      </c>
      <c r="S401" s="194">
        <f>P401*(1-Q401)</f>
        <v>7038.75</v>
      </c>
      <c r="T401" s="152" t="s">
        <v>107</v>
      </c>
    </row>
    <row r="402" spans="2:22" ht="12" customHeight="1" x14ac:dyDescent="0.2">
      <c r="G402" s="121" t="s">
        <v>51</v>
      </c>
      <c r="H402" s="121"/>
      <c r="I402" s="121"/>
      <c r="J402" s="266"/>
      <c r="K402" s="266"/>
      <c r="L402" s="266"/>
      <c r="M402" s="266"/>
      <c r="N402" s="122"/>
      <c r="O402" s="123"/>
      <c r="P402" s="122"/>
      <c r="Q402" s="123"/>
      <c r="R402" s="124"/>
      <c r="S402" s="195">
        <f>SUM(S403:S404)</f>
        <v>7060.2138435565557</v>
      </c>
    </row>
    <row r="403" spans="2:22" ht="12" customHeight="1" x14ac:dyDescent="0.2">
      <c r="B403" s="236" t="s">
        <v>52</v>
      </c>
      <c r="C403" s="69"/>
      <c r="D403" s="125"/>
      <c r="E403" s="69"/>
      <c r="F403" s="69"/>
      <c r="G403" s="126" t="s">
        <v>53</v>
      </c>
      <c r="H403" s="69" t="s">
        <v>25</v>
      </c>
      <c r="I403" s="69" t="s">
        <v>26</v>
      </c>
      <c r="J403" s="267"/>
      <c r="K403" s="267"/>
      <c r="L403" s="267"/>
      <c r="M403" s="267"/>
      <c r="N403" s="68"/>
      <c r="O403" s="73"/>
      <c r="P403" s="127"/>
      <c r="Q403" s="73"/>
      <c r="R403" s="74"/>
      <c r="S403" s="194">
        <f>SUM(R398:R400)</f>
        <v>6598.9638435565557</v>
      </c>
      <c r="T403" s="68"/>
    </row>
    <row r="404" spans="2:22" ht="12" customHeight="1" x14ac:dyDescent="0.2">
      <c r="B404" s="62" t="s">
        <v>52</v>
      </c>
      <c r="C404" s="17"/>
      <c r="D404" s="138"/>
      <c r="E404" s="17"/>
      <c r="F404" s="17"/>
      <c r="G404" s="139" t="s">
        <v>108</v>
      </c>
      <c r="H404" s="17" t="s">
        <v>103</v>
      </c>
      <c r="I404" s="17" t="s">
        <v>104</v>
      </c>
      <c r="J404" s="237"/>
      <c r="K404" s="237"/>
      <c r="L404" s="237"/>
      <c r="M404" s="237"/>
      <c r="N404" s="60"/>
      <c r="O404" s="65"/>
      <c r="P404" s="140"/>
      <c r="Q404" s="65"/>
      <c r="R404" s="137"/>
      <c r="S404" s="193">
        <f>SUM(R401)</f>
        <v>461.25</v>
      </c>
      <c r="T404" s="60"/>
    </row>
    <row r="405" spans="2:22" ht="12" customHeight="1" x14ac:dyDescent="0.2">
      <c r="B405" s="236" t="s">
        <v>23</v>
      </c>
      <c r="C405" s="69"/>
      <c r="D405" s="125"/>
      <c r="E405" s="69"/>
      <c r="F405" s="69"/>
      <c r="G405" s="69" t="s">
        <v>110</v>
      </c>
      <c r="H405" s="69" t="s">
        <v>46</v>
      </c>
      <c r="I405" s="69" t="s">
        <v>47</v>
      </c>
      <c r="J405" s="235">
        <v>341</v>
      </c>
      <c r="K405" s="235" t="s">
        <v>27</v>
      </c>
      <c r="L405" s="235" t="s">
        <v>76</v>
      </c>
      <c r="M405" s="235" t="s">
        <v>81</v>
      </c>
      <c r="N405" s="68"/>
      <c r="O405" s="73"/>
      <c r="P405" s="127"/>
      <c r="Q405" s="73"/>
      <c r="R405" s="74"/>
      <c r="S405" s="194">
        <f>S397-SUM(S398:S402)-S406</f>
        <v>2719459.5949015194</v>
      </c>
      <c r="T405" s="68"/>
    </row>
    <row r="406" spans="2:22" ht="12" customHeight="1" x14ac:dyDescent="0.2">
      <c r="B406" s="62" t="s">
        <v>23</v>
      </c>
      <c r="C406" s="17"/>
      <c r="D406" s="138"/>
      <c r="E406" s="17"/>
      <c r="F406" s="17"/>
      <c r="G406" s="17" t="s">
        <v>75</v>
      </c>
      <c r="H406" s="17" t="s">
        <v>46</v>
      </c>
      <c r="I406" s="17" t="s">
        <v>47</v>
      </c>
      <c r="J406" s="213">
        <v>341</v>
      </c>
      <c r="K406" s="213" t="s">
        <v>27</v>
      </c>
      <c r="L406" s="213" t="s">
        <v>76</v>
      </c>
      <c r="M406" s="213" t="s">
        <v>81</v>
      </c>
      <c r="N406" s="67"/>
      <c r="O406" s="65"/>
      <c r="P406" s="140"/>
      <c r="Q406" s="65"/>
      <c r="R406" s="137"/>
      <c r="S406" s="193">
        <v>165740.18</v>
      </c>
      <c r="T406" s="60"/>
      <c r="V406" s="206">
        <f>S406+S418+S430+S442</f>
        <v>820569.16</v>
      </c>
    </row>
    <row r="407" spans="2:22" ht="12" customHeight="1" x14ac:dyDescent="0.2">
      <c r="B407" s="155"/>
      <c r="C407" s="156"/>
      <c r="D407" s="157"/>
      <c r="E407" s="156"/>
      <c r="F407" s="156"/>
      <c r="G407" s="158"/>
      <c r="H407" s="158"/>
      <c r="I407" s="158"/>
      <c r="J407" s="157"/>
      <c r="K407" s="157"/>
      <c r="L407" s="159"/>
      <c r="M407" s="159"/>
      <c r="N407" s="157"/>
      <c r="O407" s="157"/>
      <c r="P407" s="157"/>
      <c r="Q407" s="157"/>
      <c r="R407" s="160"/>
      <c r="S407" s="161"/>
      <c r="T407" s="162"/>
    </row>
    <row r="408" spans="2:22" ht="15" x14ac:dyDescent="0.25">
      <c r="B408" s="47" t="s">
        <v>20</v>
      </c>
      <c r="C408" s="48">
        <v>326</v>
      </c>
      <c r="D408" s="49">
        <v>44210</v>
      </c>
      <c r="E408" s="50">
        <v>1000.80348961</v>
      </c>
      <c r="F408" s="51">
        <v>1000</v>
      </c>
      <c r="G408" s="52" t="s">
        <v>20</v>
      </c>
      <c r="H408" s="53"/>
      <c r="I408" s="53"/>
      <c r="J408" s="54"/>
      <c r="K408" s="54"/>
      <c r="L408" s="55"/>
      <c r="M408" s="54"/>
      <c r="N408" s="47"/>
      <c r="O408" s="56"/>
      <c r="P408" s="47"/>
      <c r="Q408" s="56"/>
      <c r="R408" s="57"/>
      <c r="S408" s="192">
        <f>E408*F408</f>
        <v>1000803.48961</v>
      </c>
      <c r="T408" s="68"/>
    </row>
    <row r="409" spans="2:22" ht="12" customHeight="1" x14ac:dyDescent="0.25">
      <c r="B409" s="47" t="s">
        <v>20</v>
      </c>
      <c r="C409" s="48" t="s">
        <v>21</v>
      </c>
      <c r="D409" s="49"/>
      <c r="E409" s="50"/>
      <c r="F409" s="51"/>
      <c r="G409" s="52" t="s">
        <v>22</v>
      </c>
      <c r="H409" s="53"/>
      <c r="I409" s="53"/>
      <c r="J409" s="54"/>
      <c r="K409" s="54"/>
      <c r="L409" s="55"/>
      <c r="M409" s="54"/>
      <c r="N409" s="47"/>
      <c r="O409" s="56"/>
      <c r="P409" s="47"/>
      <c r="Q409" s="56"/>
      <c r="R409" s="57"/>
      <c r="S409" s="192">
        <f>SUM(S408:S408)</f>
        <v>1000803.48961</v>
      </c>
      <c r="T409" s="68"/>
    </row>
    <row r="410" spans="2:22" ht="12" customHeight="1" x14ac:dyDescent="0.25">
      <c r="B410" s="150" t="s">
        <v>23</v>
      </c>
      <c r="C410" s="17"/>
      <c r="D410" s="61"/>
      <c r="E410" s="17"/>
      <c r="F410" s="17"/>
      <c r="G410" s="17" t="s">
        <v>24</v>
      </c>
      <c r="H410" s="17" t="s">
        <v>25</v>
      </c>
      <c r="I410" s="17" t="s">
        <v>26</v>
      </c>
      <c r="J410" s="62">
        <v>341</v>
      </c>
      <c r="K410" s="62" t="s">
        <v>27</v>
      </c>
      <c r="L410" s="63" t="s">
        <v>28</v>
      </c>
      <c r="M410" s="62" t="s">
        <v>29</v>
      </c>
      <c r="N410" s="60">
        <f>S409*0.5%</f>
        <v>5004.01744805</v>
      </c>
      <c r="O410" s="65">
        <v>0.1115</v>
      </c>
      <c r="P410" s="60">
        <f>N410/(1-O410)</f>
        <v>5631.9836218908276</v>
      </c>
      <c r="Q410" s="65">
        <v>6.1499999999999999E-2</v>
      </c>
      <c r="R410" s="66">
        <f>Q410*P410</f>
        <v>346.36699274628592</v>
      </c>
      <c r="S410" s="193">
        <f>P410*(1-Q410)</f>
        <v>5285.6166291445415</v>
      </c>
      <c r="T410" s="67" t="s">
        <v>77</v>
      </c>
    </row>
    <row r="411" spans="2:22" ht="12" customHeight="1" x14ac:dyDescent="0.25">
      <c r="B411" s="68" t="s">
        <v>23</v>
      </c>
      <c r="C411" s="69"/>
      <c r="D411" s="49"/>
      <c r="E411" s="69"/>
      <c r="F411" s="69"/>
      <c r="G411" s="69" t="s">
        <v>30</v>
      </c>
      <c r="H411" s="69" t="s">
        <v>25</v>
      </c>
      <c r="I411" s="69" t="s">
        <v>26</v>
      </c>
      <c r="J411" s="240">
        <v>341</v>
      </c>
      <c r="K411" s="240" t="s">
        <v>27</v>
      </c>
      <c r="L411" s="71" t="s">
        <v>28</v>
      </c>
      <c r="M411" s="240" t="s">
        <v>29</v>
      </c>
      <c r="N411" s="68">
        <f>S409*2%</f>
        <v>20016.0697922</v>
      </c>
      <c r="O411" s="73">
        <v>0.1115</v>
      </c>
      <c r="P411" s="68">
        <f>(N411/(1-O411))-P413</f>
        <v>20025.925763538311</v>
      </c>
      <c r="Q411" s="73">
        <v>6.1499999999999999E-2</v>
      </c>
      <c r="R411" s="74">
        <f>Q411*P411</f>
        <v>1231.5944344576062</v>
      </c>
      <c r="S411" s="194">
        <f>P411*(1-Q411)</f>
        <v>18794.331329080705</v>
      </c>
      <c r="T411" s="152" t="s">
        <v>72</v>
      </c>
    </row>
    <row r="412" spans="2:22" ht="12" customHeight="1" x14ac:dyDescent="0.25">
      <c r="B412" s="150" t="s">
        <v>23</v>
      </c>
      <c r="C412" s="17"/>
      <c r="D412" s="61"/>
      <c r="E412" s="17"/>
      <c r="F412" s="17"/>
      <c r="G412" s="17" t="s">
        <v>83</v>
      </c>
      <c r="H412" s="17" t="s">
        <v>25</v>
      </c>
      <c r="I412" s="17" t="s">
        <v>26</v>
      </c>
      <c r="J412" s="62">
        <v>341</v>
      </c>
      <c r="K412" s="62" t="s">
        <v>27</v>
      </c>
      <c r="L412" s="63" t="s">
        <v>28</v>
      </c>
      <c r="M412" s="62" t="s">
        <v>29</v>
      </c>
      <c r="N412" s="60">
        <f>S409*0.9%</f>
        <v>9007.231406490002</v>
      </c>
      <c r="O412" s="65">
        <v>0.1115</v>
      </c>
      <c r="P412" s="60">
        <f>N412/(1-O412)</f>
        <v>10137.570519403493</v>
      </c>
      <c r="Q412" s="65">
        <v>6.1499999999999999E-2</v>
      </c>
      <c r="R412" s="66">
        <f>Q412*P412</f>
        <v>623.46058694331475</v>
      </c>
      <c r="S412" s="193">
        <f>P412*(1-Q412)</f>
        <v>9514.1099324601782</v>
      </c>
      <c r="T412" s="67" t="s">
        <v>78</v>
      </c>
    </row>
    <row r="413" spans="2:22" ht="12" customHeight="1" x14ac:dyDescent="0.25">
      <c r="B413" s="68" t="s">
        <v>113</v>
      </c>
      <c r="C413" s="69"/>
      <c r="D413" s="49"/>
      <c r="E413" s="69"/>
      <c r="F413" s="69"/>
      <c r="G413" s="69" t="s">
        <v>102</v>
      </c>
      <c r="H413" s="69" t="s">
        <v>103</v>
      </c>
      <c r="I413" s="69" t="s">
        <v>104</v>
      </c>
      <c r="J413" s="240">
        <v>77</v>
      </c>
      <c r="K413" s="240" t="s">
        <v>105</v>
      </c>
      <c r="L413" s="71" t="s">
        <v>106</v>
      </c>
      <c r="M413" s="240">
        <v>40760111</v>
      </c>
      <c r="N413" s="68"/>
      <c r="O413" s="73"/>
      <c r="P413" s="68">
        <f>S409*0.25%</f>
        <v>2502.008724025</v>
      </c>
      <c r="Q413" s="73">
        <v>6.1499999999999999E-2</v>
      </c>
      <c r="R413" s="74">
        <f>Q413*P413</f>
        <v>153.87353652753751</v>
      </c>
      <c r="S413" s="194">
        <f>P413*(1-Q413)</f>
        <v>2348.1351874974625</v>
      </c>
      <c r="T413" s="152" t="s">
        <v>107</v>
      </c>
    </row>
    <row r="414" spans="2:22" ht="12" customHeight="1" x14ac:dyDescent="0.2">
      <c r="G414" s="121" t="s">
        <v>51</v>
      </c>
      <c r="H414" s="121"/>
      <c r="I414" s="121"/>
      <c r="J414" s="266"/>
      <c r="K414" s="266"/>
      <c r="L414" s="266"/>
      <c r="M414" s="266"/>
      <c r="N414" s="122"/>
      <c r="O414" s="123"/>
      <c r="P414" s="122"/>
      <c r="Q414" s="123"/>
      <c r="R414" s="124"/>
      <c r="S414" s="195">
        <f>SUM(S415:S416)</f>
        <v>2355.2955506747444</v>
      </c>
    </row>
    <row r="415" spans="2:22" ht="12" customHeight="1" x14ac:dyDescent="0.2">
      <c r="B415" s="240" t="s">
        <v>52</v>
      </c>
      <c r="C415" s="69"/>
      <c r="D415" s="125"/>
      <c r="E415" s="69"/>
      <c r="F415" s="69"/>
      <c r="G415" s="126" t="s">
        <v>53</v>
      </c>
      <c r="H415" s="69" t="s">
        <v>25</v>
      </c>
      <c r="I415" s="69" t="s">
        <v>26</v>
      </c>
      <c r="J415" s="267"/>
      <c r="K415" s="267"/>
      <c r="L415" s="267"/>
      <c r="M415" s="267"/>
      <c r="N415" s="68"/>
      <c r="O415" s="73"/>
      <c r="P415" s="127"/>
      <c r="Q415" s="73"/>
      <c r="R415" s="74"/>
      <c r="S415" s="194">
        <f>SUM(R410:R412)</f>
        <v>2201.4220141472069</v>
      </c>
      <c r="T415" s="68"/>
    </row>
    <row r="416" spans="2:22" ht="12" customHeight="1" x14ac:dyDescent="0.2">
      <c r="B416" s="62" t="s">
        <v>52</v>
      </c>
      <c r="C416" s="17"/>
      <c r="D416" s="138"/>
      <c r="E416" s="17"/>
      <c r="F416" s="17"/>
      <c r="G416" s="139" t="s">
        <v>108</v>
      </c>
      <c r="H416" s="17" t="s">
        <v>103</v>
      </c>
      <c r="I416" s="17" t="s">
        <v>104</v>
      </c>
      <c r="J416" s="239"/>
      <c r="K416" s="239"/>
      <c r="L416" s="239"/>
      <c r="M416" s="239"/>
      <c r="N416" s="60"/>
      <c r="O416" s="65"/>
      <c r="P416" s="140"/>
      <c r="Q416" s="65"/>
      <c r="R416" s="137"/>
      <c r="S416" s="193">
        <f>SUM(R413)</f>
        <v>153.87353652753751</v>
      </c>
      <c r="T416" s="60"/>
    </row>
    <row r="417" spans="2:20" ht="12" customHeight="1" x14ac:dyDescent="0.2">
      <c r="B417" s="240" t="s">
        <v>23</v>
      </c>
      <c r="C417" s="69"/>
      <c r="D417" s="125"/>
      <c r="E417" s="69"/>
      <c r="F417" s="69"/>
      <c r="G417" s="69" t="s">
        <v>110</v>
      </c>
      <c r="H417" s="69" t="s">
        <v>46</v>
      </c>
      <c r="I417" s="69" t="s">
        <v>47</v>
      </c>
      <c r="J417" s="238">
        <v>341</v>
      </c>
      <c r="K417" s="238" t="s">
        <v>27</v>
      </c>
      <c r="L417" s="238" t="s">
        <v>76</v>
      </c>
      <c r="M417" s="238" t="s">
        <v>81</v>
      </c>
      <c r="N417" s="68"/>
      <c r="O417" s="73"/>
      <c r="P417" s="127"/>
      <c r="Q417" s="73"/>
      <c r="R417" s="74"/>
      <c r="S417" s="194">
        <f>S409-SUM(S410:S414)-S418</f>
        <v>907259.27098114241</v>
      </c>
      <c r="T417" s="68"/>
    </row>
    <row r="418" spans="2:20" ht="12" customHeight="1" x14ac:dyDescent="0.2">
      <c r="B418" s="62" t="s">
        <v>23</v>
      </c>
      <c r="C418" s="17"/>
      <c r="D418" s="138"/>
      <c r="E418" s="17"/>
      <c r="F418" s="17"/>
      <c r="G418" s="17" t="s">
        <v>75</v>
      </c>
      <c r="H418" s="17" t="s">
        <v>46</v>
      </c>
      <c r="I418" s="17" t="s">
        <v>47</v>
      </c>
      <c r="J418" s="213">
        <v>341</v>
      </c>
      <c r="K418" s="213" t="s">
        <v>27</v>
      </c>
      <c r="L418" s="213" t="s">
        <v>76</v>
      </c>
      <c r="M418" s="213" t="s">
        <v>81</v>
      </c>
      <c r="N418" s="67"/>
      <c r="O418" s="65"/>
      <c r="P418" s="140"/>
      <c r="Q418" s="65"/>
      <c r="R418" s="137"/>
      <c r="S418" s="193">
        <v>55246.73</v>
      </c>
      <c r="T418" s="60"/>
    </row>
    <row r="419" spans="2:20" ht="12" customHeight="1" x14ac:dyDescent="0.2">
      <c r="B419" s="155"/>
      <c r="C419" s="156"/>
      <c r="D419" s="157"/>
      <c r="E419" s="156"/>
      <c r="F419" s="156"/>
      <c r="G419" s="158"/>
      <c r="H419" s="158"/>
      <c r="I419" s="158"/>
      <c r="J419" s="157"/>
      <c r="K419" s="157"/>
      <c r="L419" s="159"/>
      <c r="M419" s="159"/>
      <c r="N419" s="157"/>
      <c r="O419" s="157"/>
      <c r="P419" s="157"/>
      <c r="Q419" s="157"/>
      <c r="R419" s="160"/>
      <c r="S419" s="161"/>
      <c r="T419" s="162"/>
    </row>
    <row r="420" spans="2:20" ht="15" x14ac:dyDescent="0.25">
      <c r="B420" s="47" t="s">
        <v>20</v>
      </c>
      <c r="C420" s="48">
        <v>326</v>
      </c>
      <c r="D420" s="49">
        <v>44216</v>
      </c>
      <c r="E420" s="50">
        <v>969.49467793999997</v>
      </c>
      <c r="F420" s="51">
        <v>3500</v>
      </c>
      <c r="G420" s="52" t="s">
        <v>20</v>
      </c>
      <c r="H420" s="53"/>
      <c r="I420" s="53"/>
      <c r="J420" s="54"/>
      <c r="K420" s="54"/>
      <c r="L420" s="55"/>
      <c r="M420" s="54"/>
      <c r="N420" s="47"/>
      <c r="O420" s="56"/>
      <c r="P420" s="47"/>
      <c r="Q420" s="56"/>
      <c r="R420" s="57"/>
      <c r="S420" s="192">
        <f>E420*F420</f>
        <v>3393231.3727899999</v>
      </c>
      <c r="T420" s="68"/>
    </row>
    <row r="421" spans="2:20" ht="12" customHeight="1" x14ac:dyDescent="0.25">
      <c r="B421" s="47" t="s">
        <v>20</v>
      </c>
      <c r="C421" s="48" t="s">
        <v>21</v>
      </c>
      <c r="D421" s="49"/>
      <c r="E421" s="50"/>
      <c r="F421" s="51"/>
      <c r="G421" s="52" t="s">
        <v>22</v>
      </c>
      <c r="H421" s="53"/>
      <c r="I421" s="53"/>
      <c r="J421" s="54"/>
      <c r="K421" s="54"/>
      <c r="L421" s="55"/>
      <c r="M421" s="54"/>
      <c r="N421" s="47"/>
      <c r="O421" s="56"/>
      <c r="P421" s="47"/>
      <c r="Q421" s="56"/>
      <c r="R421" s="57"/>
      <c r="S421" s="192">
        <f>SUM(S420:S420)</f>
        <v>3393231.3727899999</v>
      </c>
      <c r="T421" s="68"/>
    </row>
    <row r="422" spans="2:20" ht="12" customHeight="1" x14ac:dyDescent="0.25">
      <c r="B422" s="150" t="s">
        <v>23</v>
      </c>
      <c r="C422" s="17"/>
      <c r="D422" s="61"/>
      <c r="E422" s="17"/>
      <c r="F422" s="17"/>
      <c r="G422" s="17" t="s">
        <v>24</v>
      </c>
      <c r="H422" s="17" t="s">
        <v>25</v>
      </c>
      <c r="I422" s="17" t="s">
        <v>26</v>
      </c>
      <c r="J422" s="62">
        <v>341</v>
      </c>
      <c r="K422" s="62" t="s">
        <v>27</v>
      </c>
      <c r="L422" s="63" t="s">
        <v>28</v>
      </c>
      <c r="M422" s="62" t="s">
        <v>29</v>
      </c>
      <c r="N422" s="60">
        <f>S421*0.5%</f>
        <v>16966.15686395</v>
      </c>
      <c r="O422" s="65">
        <v>0.1115</v>
      </c>
      <c r="P422" s="60">
        <f>N422/(1-O422)</f>
        <v>19095.280657231291</v>
      </c>
      <c r="Q422" s="65">
        <v>6.1499999999999999E-2</v>
      </c>
      <c r="R422" s="66">
        <f>Q422*P422</f>
        <v>1174.3597604197244</v>
      </c>
      <c r="S422" s="193">
        <f>P422*(1-Q422)</f>
        <v>17920.920896811567</v>
      </c>
      <c r="T422" s="67" t="s">
        <v>77</v>
      </c>
    </row>
    <row r="423" spans="2:20" ht="12" customHeight="1" x14ac:dyDescent="0.25">
      <c r="B423" s="68" t="s">
        <v>23</v>
      </c>
      <c r="C423" s="69"/>
      <c r="D423" s="49"/>
      <c r="E423" s="69"/>
      <c r="F423" s="69"/>
      <c r="G423" s="69" t="s">
        <v>30</v>
      </c>
      <c r="H423" s="69" t="s">
        <v>25</v>
      </c>
      <c r="I423" s="69" t="s">
        <v>26</v>
      </c>
      <c r="J423" s="243">
        <v>341</v>
      </c>
      <c r="K423" s="243" t="s">
        <v>27</v>
      </c>
      <c r="L423" s="71" t="s">
        <v>28</v>
      </c>
      <c r="M423" s="243" t="s">
        <v>29</v>
      </c>
      <c r="N423" s="68">
        <f>S421*2%</f>
        <v>67864.6274558</v>
      </c>
      <c r="O423" s="73">
        <v>0.1115</v>
      </c>
      <c r="P423" s="68">
        <f>(N423/(1-O423))-P425</f>
        <v>67898.04419695017</v>
      </c>
      <c r="Q423" s="73">
        <v>6.1499999999999999E-2</v>
      </c>
      <c r="R423" s="74">
        <f>Q423*P423</f>
        <v>4175.729718112435</v>
      </c>
      <c r="S423" s="194">
        <f>P423*(1-Q423)</f>
        <v>63722.314478837732</v>
      </c>
      <c r="T423" s="152" t="s">
        <v>72</v>
      </c>
    </row>
    <row r="424" spans="2:20" ht="12" customHeight="1" x14ac:dyDescent="0.25">
      <c r="B424" s="150" t="s">
        <v>23</v>
      </c>
      <c r="C424" s="17"/>
      <c r="D424" s="61"/>
      <c r="E424" s="17"/>
      <c r="F424" s="17"/>
      <c r="G424" s="17" t="s">
        <v>83</v>
      </c>
      <c r="H424" s="17" t="s">
        <v>25</v>
      </c>
      <c r="I424" s="17" t="s">
        <v>26</v>
      </c>
      <c r="J424" s="62">
        <v>341</v>
      </c>
      <c r="K424" s="62" t="s">
        <v>27</v>
      </c>
      <c r="L424" s="63" t="s">
        <v>28</v>
      </c>
      <c r="M424" s="62" t="s">
        <v>29</v>
      </c>
      <c r="N424" s="60">
        <f>S421*0.9%</f>
        <v>30539.082355110004</v>
      </c>
      <c r="O424" s="65">
        <v>0.1115</v>
      </c>
      <c r="P424" s="60">
        <f>N424/(1-O424)</f>
        <v>34371.505183016328</v>
      </c>
      <c r="Q424" s="65">
        <v>6.1499999999999999E-2</v>
      </c>
      <c r="R424" s="66">
        <f>Q424*P424</f>
        <v>2113.8475687555042</v>
      </c>
      <c r="S424" s="193">
        <f>P424*(1-Q424)</f>
        <v>32257.657614260825</v>
      </c>
      <c r="T424" s="67" t="s">
        <v>78</v>
      </c>
    </row>
    <row r="425" spans="2:20" ht="12" customHeight="1" x14ac:dyDescent="0.25">
      <c r="B425" s="68" t="s">
        <v>113</v>
      </c>
      <c r="C425" s="69"/>
      <c r="D425" s="49"/>
      <c r="E425" s="69"/>
      <c r="F425" s="69"/>
      <c r="G425" s="69" t="s">
        <v>102</v>
      </c>
      <c r="H425" s="69" t="s">
        <v>103</v>
      </c>
      <c r="I425" s="69" t="s">
        <v>104</v>
      </c>
      <c r="J425" s="243">
        <v>77</v>
      </c>
      <c r="K425" s="243" t="s">
        <v>105</v>
      </c>
      <c r="L425" s="71" t="s">
        <v>106</v>
      </c>
      <c r="M425" s="243">
        <v>40760111</v>
      </c>
      <c r="N425" s="68"/>
      <c r="O425" s="73"/>
      <c r="P425" s="68">
        <f>S421*0.25%</f>
        <v>8483.0784319750001</v>
      </c>
      <c r="Q425" s="73">
        <v>6.1499999999999999E-2</v>
      </c>
      <c r="R425" s="74">
        <f>Q425*P425</f>
        <v>521.70932356646244</v>
      </c>
      <c r="S425" s="194">
        <f>P425*(1-Q425)</f>
        <v>7961.3691084085376</v>
      </c>
      <c r="T425" s="152" t="s">
        <v>107</v>
      </c>
    </row>
    <row r="426" spans="2:20" ht="12" customHeight="1" x14ac:dyDescent="0.2">
      <c r="G426" s="121" t="s">
        <v>51</v>
      </c>
      <c r="H426" s="121"/>
      <c r="I426" s="121"/>
      <c r="J426" s="266"/>
      <c r="K426" s="266"/>
      <c r="L426" s="266"/>
      <c r="M426" s="266"/>
      <c r="N426" s="122"/>
      <c r="O426" s="123"/>
      <c r="P426" s="122"/>
      <c r="Q426" s="123"/>
      <c r="R426" s="124"/>
      <c r="S426" s="195">
        <f>SUM(S427:S428)</f>
        <v>7985.646370854126</v>
      </c>
    </row>
    <row r="427" spans="2:20" ht="12" customHeight="1" x14ac:dyDescent="0.2">
      <c r="B427" s="243" t="s">
        <v>52</v>
      </c>
      <c r="C427" s="69"/>
      <c r="D427" s="125"/>
      <c r="E427" s="69"/>
      <c r="F427" s="69"/>
      <c r="G427" s="126" t="s">
        <v>53</v>
      </c>
      <c r="H427" s="69" t="s">
        <v>25</v>
      </c>
      <c r="I427" s="69" t="s">
        <v>26</v>
      </c>
      <c r="J427" s="267"/>
      <c r="K427" s="267"/>
      <c r="L427" s="267"/>
      <c r="M427" s="267"/>
      <c r="N427" s="68"/>
      <c r="O427" s="73"/>
      <c r="P427" s="127"/>
      <c r="Q427" s="73"/>
      <c r="R427" s="74"/>
      <c r="S427" s="194">
        <f>SUM(R422:R424)</f>
        <v>7463.9370472876635</v>
      </c>
      <c r="T427" s="68"/>
    </row>
    <row r="428" spans="2:20" ht="12" customHeight="1" x14ac:dyDescent="0.2">
      <c r="B428" s="62" t="s">
        <v>52</v>
      </c>
      <c r="C428" s="17"/>
      <c r="D428" s="138"/>
      <c r="E428" s="17"/>
      <c r="F428" s="17"/>
      <c r="G428" s="139" t="s">
        <v>108</v>
      </c>
      <c r="H428" s="17" t="s">
        <v>103</v>
      </c>
      <c r="I428" s="17" t="s">
        <v>104</v>
      </c>
      <c r="J428" s="244"/>
      <c r="K428" s="244"/>
      <c r="L428" s="244"/>
      <c r="M428" s="244"/>
      <c r="N428" s="60"/>
      <c r="O428" s="65"/>
      <c r="P428" s="140"/>
      <c r="Q428" s="65"/>
      <c r="R428" s="137"/>
      <c r="S428" s="193">
        <f>SUM(R425)</f>
        <v>521.70932356646244</v>
      </c>
      <c r="T428" s="60"/>
    </row>
    <row r="429" spans="2:20" ht="12" customHeight="1" x14ac:dyDescent="0.2">
      <c r="B429" s="243" t="s">
        <v>23</v>
      </c>
      <c r="C429" s="69"/>
      <c r="D429" s="125"/>
      <c r="E429" s="69"/>
      <c r="F429" s="69"/>
      <c r="G429" s="69" t="s">
        <v>110</v>
      </c>
      <c r="H429" s="69" t="s">
        <v>46</v>
      </c>
      <c r="I429" s="69" t="s">
        <v>47</v>
      </c>
      <c r="J429" s="242">
        <v>341</v>
      </c>
      <c r="K429" s="242" t="s">
        <v>27</v>
      </c>
      <c r="L429" s="242" t="s">
        <v>76</v>
      </c>
      <c r="M429" s="242" t="s">
        <v>81</v>
      </c>
      <c r="N429" s="68"/>
      <c r="O429" s="73"/>
      <c r="P429" s="127"/>
      <c r="Q429" s="73"/>
      <c r="R429" s="74"/>
      <c r="S429" s="194">
        <f>S421-SUM(S422:S426)-S430</f>
        <v>3072607.2943208274</v>
      </c>
      <c r="T429" s="68"/>
    </row>
    <row r="430" spans="2:20" ht="12" customHeight="1" x14ac:dyDescent="0.2">
      <c r="B430" s="62" t="s">
        <v>23</v>
      </c>
      <c r="C430" s="17"/>
      <c r="D430" s="138"/>
      <c r="E430" s="17"/>
      <c r="F430" s="17"/>
      <c r="G430" s="17" t="s">
        <v>75</v>
      </c>
      <c r="H430" s="17" t="s">
        <v>46</v>
      </c>
      <c r="I430" s="17" t="s">
        <v>47</v>
      </c>
      <c r="J430" s="213">
        <v>341</v>
      </c>
      <c r="K430" s="213" t="s">
        <v>27</v>
      </c>
      <c r="L430" s="213" t="s">
        <v>76</v>
      </c>
      <c r="M430" s="213" t="s">
        <v>81</v>
      </c>
      <c r="N430" s="67"/>
      <c r="O430" s="65"/>
      <c r="P430" s="140"/>
      <c r="Q430" s="65"/>
      <c r="R430" s="137"/>
      <c r="S430" s="193">
        <v>190776.17</v>
      </c>
      <c r="T430" s="60"/>
    </row>
    <row r="431" spans="2:20" ht="12" customHeight="1" x14ac:dyDescent="0.2">
      <c r="B431" s="155"/>
      <c r="C431" s="156"/>
      <c r="D431" s="157"/>
      <c r="E431" s="156"/>
      <c r="F431" s="156"/>
      <c r="G431" s="158"/>
      <c r="H431" s="158"/>
      <c r="I431" s="158"/>
      <c r="J431" s="157"/>
      <c r="K431" s="157"/>
      <c r="L431" s="159"/>
      <c r="M431" s="159"/>
      <c r="N431" s="157"/>
      <c r="O431" s="157"/>
      <c r="P431" s="157"/>
      <c r="Q431" s="157"/>
      <c r="R431" s="160"/>
      <c r="S431" s="161"/>
      <c r="T431" s="162"/>
    </row>
    <row r="432" spans="2:20" ht="15" x14ac:dyDescent="0.25">
      <c r="B432" s="47" t="s">
        <v>20</v>
      </c>
      <c r="C432" s="48">
        <v>326</v>
      </c>
      <c r="D432" s="49">
        <v>44223</v>
      </c>
      <c r="E432" s="50">
        <v>974.34800096000004</v>
      </c>
      <c r="F432" s="51">
        <v>7500</v>
      </c>
      <c r="G432" s="52" t="s">
        <v>20</v>
      </c>
      <c r="H432" s="53"/>
      <c r="I432" s="53"/>
      <c r="J432" s="54"/>
      <c r="K432" s="54"/>
      <c r="L432" s="55"/>
      <c r="M432" s="54"/>
      <c r="N432" s="47"/>
      <c r="O432" s="56"/>
      <c r="P432" s="47"/>
      <c r="Q432" s="56"/>
      <c r="R432" s="57"/>
      <c r="S432" s="192">
        <f>E432*F432</f>
        <v>7307610.0071999999</v>
      </c>
      <c r="T432" s="68"/>
    </row>
    <row r="433" spans="2:20" ht="12" customHeight="1" x14ac:dyDescent="0.25">
      <c r="B433" s="47" t="s">
        <v>20</v>
      </c>
      <c r="C433" s="48" t="s">
        <v>21</v>
      </c>
      <c r="D433" s="49"/>
      <c r="E433" s="50"/>
      <c r="F433" s="51"/>
      <c r="G433" s="52" t="s">
        <v>22</v>
      </c>
      <c r="H433" s="53"/>
      <c r="I433" s="53"/>
      <c r="J433" s="54"/>
      <c r="K433" s="54"/>
      <c r="L433" s="55"/>
      <c r="M433" s="54"/>
      <c r="N433" s="47"/>
      <c r="O433" s="56"/>
      <c r="P433" s="47"/>
      <c r="Q433" s="56"/>
      <c r="R433" s="57"/>
      <c r="S433" s="192">
        <f>SUM(S432:S432)</f>
        <v>7307610.0071999999</v>
      </c>
      <c r="T433" s="68"/>
    </row>
    <row r="434" spans="2:20" ht="12" customHeight="1" x14ac:dyDescent="0.25">
      <c r="B434" s="150" t="s">
        <v>23</v>
      </c>
      <c r="C434" s="17"/>
      <c r="D434" s="61"/>
      <c r="E434" s="17"/>
      <c r="F434" s="17"/>
      <c r="G434" s="17" t="s">
        <v>24</v>
      </c>
      <c r="H434" s="17" t="s">
        <v>25</v>
      </c>
      <c r="I434" s="17" t="s">
        <v>26</v>
      </c>
      <c r="J434" s="62">
        <v>341</v>
      </c>
      <c r="K434" s="62" t="s">
        <v>27</v>
      </c>
      <c r="L434" s="63" t="s">
        <v>28</v>
      </c>
      <c r="M434" s="62" t="s">
        <v>29</v>
      </c>
      <c r="N434" s="60">
        <f>S433*0.5%</f>
        <v>36538.050036000001</v>
      </c>
      <c r="O434" s="65">
        <v>0.1115</v>
      </c>
      <c r="P434" s="60">
        <f>N434/(1-O434)</f>
        <v>41123.297733258303</v>
      </c>
      <c r="Q434" s="65">
        <v>6.1499999999999999E-2</v>
      </c>
      <c r="R434" s="66">
        <f>Q434*P434</f>
        <v>2529.0828105953856</v>
      </c>
      <c r="S434" s="193">
        <f>P434*(1-Q434)</f>
        <v>38594.214922662919</v>
      </c>
      <c r="T434" s="67" t="s">
        <v>77</v>
      </c>
    </row>
    <row r="435" spans="2:20" ht="12" customHeight="1" x14ac:dyDescent="0.25">
      <c r="B435" s="68" t="s">
        <v>23</v>
      </c>
      <c r="C435" s="69"/>
      <c r="D435" s="49"/>
      <c r="E435" s="69"/>
      <c r="F435" s="69"/>
      <c r="G435" s="69" t="s">
        <v>30</v>
      </c>
      <c r="H435" s="69" t="s">
        <v>25</v>
      </c>
      <c r="I435" s="69" t="s">
        <v>26</v>
      </c>
      <c r="J435" s="246">
        <v>341</v>
      </c>
      <c r="K435" s="246" t="s">
        <v>27</v>
      </c>
      <c r="L435" s="71" t="s">
        <v>28</v>
      </c>
      <c r="M435" s="246" t="s">
        <v>29</v>
      </c>
      <c r="N435" s="68">
        <f>S433*2%</f>
        <v>146152.200144</v>
      </c>
      <c r="O435" s="73">
        <v>0.1115</v>
      </c>
      <c r="P435" s="68">
        <f>(N435/(1-O435))-P437</f>
        <v>146224.1659150332</v>
      </c>
      <c r="Q435" s="73">
        <v>6.1499999999999999E-2</v>
      </c>
      <c r="R435" s="74">
        <f>Q435*P435</f>
        <v>8992.7862037745417</v>
      </c>
      <c r="S435" s="194">
        <f>P435*(1-Q435)</f>
        <v>137231.37971125866</v>
      </c>
      <c r="T435" s="152" t="s">
        <v>72</v>
      </c>
    </row>
    <row r="436" spans="2:20" ht="12" customHeight="1" x14ac:dyDescent="0.25">
      <c r="B436" s="150" t="s">
        <v>23</v>
      </c>
      <c r="C436" s="17"/>
      <c r="D436" s="61"/>
      <c r="E436" s="17"/>
      <c r="F436" s="17"/>
      <c r="G436" s="17" t="s">
        <v>83</v>
      </c>
      <c r="H436" s="17" t="s">
        <v>25</v>
      </c>
      <c r="I436" s="17" t="s">
        <v>26</v>
      </c>
      <c r="J436" s="62">
        <v>341</v>
      </c>
      <c r="K436" s="62" t="s">
        <v>27</v>
      </c>
      <c r="L436" s="63" t="s">
        <v>28</v>
      </c>
      <c r="M436" s="62" t="s">
        <v>29</v>
      </c>
      <c r="N436" s="60">
        <f>S433*0.9%</f>
        <v>65768.490064800004</v>
      </c>
      <c r="O436" s="65">
        <v>0.1115</v>
      </c>
      <c r="P436" s="60">
        <f>N436/(1-O436)</f>
        <v>74021.935919864947</v>
      </c>
      <c r="Q436" s="65">
        <v>6.1499999999999999E-2</v>
      </c>
      <c r="R436" s="66">
        <f>Q436*P436</f>
        <v>4552.3490590716938</v>
      </c>
      <c r="S436" s="193">
        <f>P436*(1-Q436)</f>
        <v>69469.58686079325</v>
      </c>
      <c r="T436" s="67" t="s">
        <v>78</v>
      </c>
    </row>
    <row r="437" spans="2:20" ht="12" customHeight="1" x14ac:dyDescent="0.25">
      <c r="B437" s="68" t="s">
        <v>113</v>
      </c>
      <c r="C437" s="69"/>
      <c r="D437" s="49"/>
      <c r="E437" s="69"/>
      <c r="F437" s="69"/>
      <c r="G437" s="69" t="s">
        <v>102</v>
      </c>
      <c r="H437" s="69" t="s">
        <v>103</v>
      </c>
      <c r="I437" s="69" t="s">
        <v>104</v>
      </c>
      <c r="J437" s="246">
        <v>77</v>
      </c>
      <c r="K437" s="246" t="s">
        <v>105</v>
      </c>
      <c r="L437" s="71" t="s">
        <v>106</v>
      </c>
      <c r="M437" s="246">
        <v>40760111</v>
      </c>
      <c r="N437" s="68"/>
      <c r="O437" s="73"/>
      <c r="P437" s="68">
        <f>S433*0.25%</f>
        <v>18269.025018</v>
      </c>
      <c r="Q437" s="73">
        <v>6.1499999999999999E-2</v>
      </c>
      <c r="R437" s="74">
        <f>Q437*P437</f>
        <v>1123.5450386069999</v>
      </c>
      <c r="S437" s="194">
        <f>P437*(1-Q437)</f>
        <v>17145.479979393</v>
      </c>
      <c r="T437" s="152" t="s">
        <v>107</v>
      </c>
    </row>
    <row r="438" spans="2:20" ht="12" customHeight="1" x14ac:dyDescent="0.2">
      <c r="G438" s="121" t="s">
        <v>51</v>
      </c>
      <c r="H438" s="121"/>
      <c r="I438" s="121"/>
      <c r="J438" s="266"/>
      <c r="K438" s="266"/>
      <c r="L438" s="266"/>
      <c r="M438" s="266"/>
      <c r="N438" s="122"/>
      <c r="O438" s="123"/>
      <c r="P438" s="122"/>
      <c r="Q438" s="123"/>
      <c r="R438" s="124"/>
      <c r="S438" s="195">
        <f>SUM(S439:S440)</f>
        <v>17197.763112048622</v>
      </c>
    </row>
    <row r="439" spans="2:20" ht="12" customHeight="1" x14ac:dyDescent="0.2">
      <c r="B439" s="246" t="s">
        <v>52</v>
      </c>
      <c r="C439" s="69"/>
      <c r="D439" s="125"/>
      <c r="E439" s="69"/>
      <c r="F439" s="69"/>
      <c r="G439" s="126" t="s">
        <v>53</v>
      </c>
      <c r="H439" s="69" t="s">
        <v>25</v>
      </c>
      <c r="I439" s="69" t="s">
        <v>26</v>
      </c>
      <c r="J439" s="267"/>
      <c r="K439" s="267"/>
      <c r="L439" s="267"/>
      <c r="M439" s="267"/>
      <c r="N439" s="68"/>
      <c r="O439" s="73"/>
      <c r="P439" s="127"/>
      <c r="Q439" s="73"/>
      <c r="R439" s="74"/>
      <c r="S439" s="194">
        <f>SUM(R434:R436)</f>
        <v>16074.218073441622</v>
      </c>
      <c r="T439" s="68"/>
    </row>
    <row r="440" spans="2:20" ht="12" customHeight="1" x14ac:dyDescent="0.2">
      <c r="B440" s="62" t="s">
        <v>52</v>
      </c>
      <c r="C440" s="17"/>
      <c r="D440" s="138"/>
      <c r="E440" s="17"/>
      <c r="F440" s="17"/>
      <c r="G440" s="139" t="s">
        <v>108</v>
      </c>
      <c r="H440" s="17" t="s">
        <v>103</v>
      </c>
      <c r="I440" s="17" t="s">
        <v>104</v>
      </c>
      <c r="J440" s="247"/>
      <c r="K440" s="247"/>
      <c r="L440" s="247"/>
      <c r="M440" s="247"/>
      <c r="N440" s="60"/>
      <c r="O440" s="65"/>
      <c r="P440" s="140"/>
      <c r="Q440" s="65"/>
      <c r="R440" s="137"/>
      <c r="S440" s="193">
        <f>SUM(R437)</f>
        <v>1123.5450386069999</v>
      </c>
      <c r="T440" s="60"/>
    </row>
    <row r="441" spans="2:20" ht="12" customHeight="1" x14ac:dyDescent="0.2">
      <c r="B441" s="246" t="s">
        <v>23</v>
      </c>
      <c r="C441" s="69"/>
      <c r="D441" s="125"/>
      <c r="E441" s="69"/>
      <c r="F441" s="69"/>
      <c r="G441" s="69" t="s">
        <v>110</v>
      </c>
      <c r="H441" s="69" t="s">
        <v>46</v>
      </c>
      <c r="I441" s="69" t="s">
        <v>47</v>
      </c>
      <c r="J441" s="245">
        <v>341</v>
      </c>
      <c r="K441" s="245" t="s">
        <v>27</v>
      </c>
      <c r="L441" s="245" t="s">
        <v>76</v>
      </c>
      <c r="M441" s="245" t="s">
        <v>81</v>
      </c>
      <c r="N441" s="68"/>
      <c r="O441" s="73"/>
      <c r="P441" s="127"/>
      <c r="Q441" s="73"/>
      <c r="R441" s="74"/>
      <c r="S441" s="194">
        <f>S433-SUM(S434:S438)-S442</f>
        <v>6619165.5026138434</v>
      </c>
      <c r="T441" s="68"/>
    </row>
    <row r="442" spans="2:20" ht="12" customHeight="1" x14ac:dyDescent="0.2">
      <c r="B442" s="62" t="s">
        <v>23</v>
      </c>
      <c r="C442" s="17"/>
      <c r="D442" s="138"/>
      <c r="E442" s="17"/>
      <c r="F442" s="17"/>
      <c r="G442" s="17" t="s">
        <v>75</v>
      </c>
      <c r="H442" s="17" t="s">
        <v>46</v>
      </c>
      <c r="I442" s="17" t="s">
        <v>47</v>
      </c>
      <c r="J442" s="213">
        <v>341</v>
      </c>
      <c r="K442" s="213" t="s">
        <v>27</v>
      </c>
      <c r="L442" s="213" t="s">
        <v>76</v>
      </c>
      <c r="M442" s="213" t="s">
        <v>81</v>
      </c>
      <c r="N442" s="67"/>
      <c r="O442" s="65"/>
      <c r="P442" s="140"/>
      <c r="Q442" s="65"/>
      <c r="R442" s="137"/>
      <c r="S442" s="193">
        <v>408806.08</v>
      </c>
      <c r="T442" s="60"/>
    </row>
    <row r="443" spans="2:20" ht="12" customHeight="1" x14ac:dyDescent="0.2">
      <c r="B443" s="155"/>
      <c r="C443" s="156"/>
      <c r="D443" s="157"/>
      <c r="E443" s="156"/>
      <c r="F443" s="156"/>
      <c r="G443" s="158"/>
      <c r="H443" s="158"/>
      <c r="I443" s="158"/>
      <c r="J443" s="157"/>
      <c r="K443" s="157"/>
      <c r="L443" s="159"/>
      <c r="M443" s="159"/>
      <c r="N443" s="157"/>
      <c r="O443" s="157"/>
      <c r="P443" s="157"/>
      <c r="Q443" s="157"/>
      <c r="R443" s="160"/>
      <c r="S443" s="161"/>
      <c r="T443" s="162"/>
    </row>
    <row r="444" spans="2:20" ht="15" x14ac:dyDescent="0.25">
      <c r="B444" s="47" t="s">
        <v>20</v>
      </c>
      <c r="C444" s="48">
        <v>326</v>
      </c>
      <c r="D444" s="49">
        <v>44251</v>
      </c>
      <c r="E444" s="50">
        <v>958.42076507000002</v>
      </c>
      <c r="F444" s="51">
        <v>750</v>
      </c>
      <c r="G444" s="52" t="s">
        <v>20</v>
      </c>
      <c r="H444" s="53"/>
      <c r="I444" s="53"/>
      <c r="J444" s="54"/>
      <c r="K444" s="54"/>
      <c r="L444" s="55"/>
      <c r="M444" s="54"/>
      <c r="N444" s="47"/>
      <c r="O444" s="56"/>
      <c r="P444" s="47"/>
      <c r="Q444" s="56"/>
      <c r="R444" s="57"/>
      <c r="S444" s="192">
        <f>E444*F444</f>
        <v>718815.57380250003</v>
      </c>
      <c r="T444" s="68"/>
    </row>
    <row r="445" spans="2:20" ht="15" x14ac:dyDescent="0.25">
      <c r="B445" s="47" t="s">
        <v>20</v>
      </c>
      <c r="C445" s="48">
        <v>327</v>
      </c>
      <c r="D445" s="49">
        <v>44251</v>
      </c>
      <c r="E445" s="50">
        <v>921.99339812000005</v>
      </c>
      <c r="F445" s="51">
        <v>1473</v>
      </c>
      <c r="G445" s="52" t="s">
        <v>20</v>
      </c>
      <c r="H445" s="53"/>
      <c r="I445" s="53"/>
      <c r="J445" s="54"/>
      <c r="K445" s="54"/>
      <c r="L445" s="55"/>
      <c r="M445" s="54"/>
      <c r="N445" s="47"/>
      <c r="O445" s="56"/>
      <c r="P445" s="47"/>
      <c r="Q445" s="56"/>
      <c r="R445" s="57"/>
      <c r="S445" s="192">
        <f t="shared" ref="S445:S447" si="32">E445*F445</f>
        <v>1358096.2754307601</v>
      </c>
      <c r="T445" s="68"/>
    </row>
    <row r="446" spans="2:20" ht="15" x14ac:dyDescent="0.25">
      <c r="B446" s="47" t="s">
        <v>20</v>
      </c>
      <c r="C446" s="48">
        <v>329</v>
      </c>
      <c r="D446" s="49">
        <v>44251</v>
      </c>
      <c r="E446" s="50">
        <v>1000</v>
      </c>
      <c r="F446" s="51">
        <v>2303</v>
      </c>
      <c r="G446" s="52" t="s">
        <v>20</v>
      </c>
      <c r="H446" s="53"/>
      <c r="I446" s="53"/>
      <c r="J446" s="54"/>
      <c r="K446" s="54"/>
      <c r="L446" s="55"/>
      <c r="M446" s="54"/>
      <c r="N446" s="47"/>
      <c r="O446" s="56"/>
      <c r="P446" s="47"/>
      <c r="Q446" s="56"/>
      <c r="R446" s="57"/>
      <c r="S446" s="192">
        <f t="shared" si="32"/>
        <v>2303000</v>
      </c>
      <c r="T446" s="68"/>
    </row>
    <row r="447" spans="2:20" ht="15" x14ac:dyDescent="0.25">
      <c r="B447" s="47" t="s">
        <v>20</v>
      </c>
      <c r="C447" s="48">
        <v>330</v>
      </c>
      <c r="D447" s="49">
        <v>44251</v>
      </c>
      <c r="E447" s="50">
        <v>1000</v>
      </c>
      <c r="F447" s="51">
        <v>1474</v>
      </c>
      <c r="G447" s="52" t="s">
        <v>20</v>
      </c>
      <c r="H447" s="53"/>
      <c r="I447" s="53"/>
      <c r="J447" s="54"/>
      <c r="K447" s="54"/>
      <c r="L447" s="55"/>
      <c r="M447" s="54"/>
      <c r="N447" s="47"/>
      <c r="O447" s="56"/>
      <c r="P447" s="47"/>
      <c r="Q447" s="56"/>
      <c r="R447" s="57"/>
      <c r="S447" s="192">
        <f t="shared" si="32"/>
        <v>1474000</v>
      </c>
      <c r="T447" s="68"/>
    </row>
    <row r="448" spans="2:20" ht="12" customHeight="1" x14ac:dyDescent="0.25">
      <c r="B448" s="47" t="s">
        <v>20</v>
      </c>
      <c r="C448" s="48" t="s">
        <v>21</v>
      </c>
      <c r="D448" s="49"/>
      <c r="E448" s="50"/>
      <c r="F448" s="51"/>
      <c r="G448" s="52" t="s">
        <v>22</v>
      </c>
      <c r="H448" s="53"/>
      <c r="I448" s="53"/>
      <c r="J448" s="54"/>
      <c r="K448" s="54"/>
      <c r="L448" s="55"/>
      <c r="M448" s="54"/>
      <c r="N448" s="47"/>
      <c r="O448" s="56"/>
      <c r="P448" s="47"/>
      <c r="Q448" s="56"/>
      <c r="R448" s="57"/>
      <c r="S448" s="192">
        <f>SUM(S444:S447)</f>
        <v>5853911.8492332604</v>
      </c>
      <c r="T448" s="68"/>
    </row>
    <row r="449" spans="2:20" ht="12" customHeight="1" x14ac:dyDescent="0.25">
      <c r="B449" s="150" t="s">
        <v>23</v>
      </c>
      <c r="C449" s="17"/>
      <c r="D449" s="61"/>
      <c r="E449" s="17"/>
      <c r="F449" s="17"/>
      <c r="G449" s="17" t="s">
        <v>24</v>
      </c>
      <c r="H449" s="17" t="s">
        <v>25</v>
      </c>
      <c r="I449" s="17" t="s">
        <v>26</v>
      </c>
      <c r="J449" s="62">
        <v>341</v>
      </c>
      <c r="K449" s="62" t="s">
        <v>27</v>
      </c>
      <c r="L449" s="63" t="s">
        <v>28</v>
      </c>
      <c r="M449" s="62" t="s">
        <v>29</v>
      </c>
      <c r="N449" s="60">
        <f>S448*0.5%</f>
        <v>29269.559246166304</v>
      </c>
      <c r="O449" s="65">
        <v>0.1115</v>
      </c>
      <c r="P449" s="60">
        <f>N449/(1-O449)</f>
        <v>32942.666568560839</v>
      </c>
      <c r="Q449" s="65">
        <v>6.1499999999999999E-2</v>
      </c>
      <c r="R449" s="66">
        <f>Q449*P449</f>
        <v>2025.9739939664914</v>
      </c>
      <c r="S449" s="193">
        <f>P449*(1-Q449)</f>
        <v>30916.692574594348</v>
      </c>
      <c r="T449" s="67" t="s">
        <v>77</v>
      </c>
    </row>
    <row r="450" spans="2:20" ht="12" customHeight="1" x14ac:dyDescent="0.25">
      <c r="B450" s="68" t="s">
        <v>23</v>
      </c>
      <c r="C450" s="69"/>
      <c r="D450" s="49"/>
      <c r="E450" s="69"/>
      <c r="F450" s="69"/>
      <c r="G450" s="69" t="s">
        <v>30</v>
      </c>
      <c r="H450" s="69" t="s">
        <v>25</v>
      </c>
      <c r="I450" s="69" t="s">
        <v>26</v>
      </c>
      <c r="J450" s="250">
        <v>341</v>
      </c>
      <c r="K450" s="250" t="s">
        <v>27</v>
      </c>
      <c r="L450" s="71" t="s">
        <v>28</v>
      </c>
      <c r="M450" s="250" t="s">
        <v>29</v>
      </c>
      <c r="N450" s="68">
        <f>S448*2%</f>
        <v>117078.23698466521</v>
      </c>
      <c r="O450" s="73">
        <v>0.1115</v>
      </c>
      <c r="P450" s="68">
        <f>(N450/(1-O450))-P452</f>
        <v>117135.8866511602</v>
      </c>
      <c r="Q450" s="73">
        <v>6.1499999999999999E-2</v>
      </c>
      <c r="R450" s="74">
        <f>Q450*P450</f>
        <v>7203.8570290463522</v>
      </c>
      <c r="S450" s="194">
        <f>P450*(1-Q450)</f>
        <v>109932.02962211384</v>
      </c>
      <c r="T450" s="152" t="s">
        <v>72</v>
      </c>
    </row>
    <row r="451" spans="2:20" ht="12" customHeight="1" x14ac:dyDescent="0.25">
      <c r="B451" s="150" t="s">
        <v>23</v>
      </c>
      <c r="C451" s="17"/>
      <c r="D451" s="61"/>
      <c r="E451" s="17"/>
      <c r="F451" s="17"/>
      <c r="G451" s="17" t="s">
        <v>83</v>
      </c>
      <c r="H451" s="17" t="s">
        <v>25</v>
      </c>
      <c r="I451" s="17" t="s">
        <v>26</v>
      </c>
      <c r="J451" s="62">
        <v>341</v>
      </c>
      <c r="K451" s="62" t="s">
        <v>27</v>
      </c>
      <c r="L451" s="63" t="s">
        <v>28</v>
      </c>
      <c r="M451" s="62" t="s">
        <v>29</v>
      </c>
      <c r="N451" s="60">
        <f>S448*0.9%</f>
        <v>52685.206643099351</v>
      </c>
      <c r="O451" s="65">
        <v>0.1115</v>
      </c>
      <c r="P451" s="60">
        <f>N451/(1-O451)</f>
        <v>59296.799823409514</v>
      </c>
      <c r="Q451" s="65">
        <v>6.1499999999999999E-2</v>
      </c>
      <c r="R451" s="66">
        <f>Q451*P451</f>
        <v>3646.7531891396852</v>
      </c>
      <c r="S451" s="193">
        <f>P451*(1-Q451)</f>
        <v>55650.046634269827</v>
      </c>
      <c r="T451" s="67" t="s">
        <v>78</v>
      </c>
    </row>
    <row r="452" spans="2:20" ht="12" customHeight="1" x14ac:dyDescent="0.25">
      <c r="B452" s="68" t="s">
        <v>113</v>
      </c>
      <c r="C452" s="69"/>
      <c r="D452" s="49"/>
      <c r="E452" s="69"/>
      <c r="F452" s="69"/>
      <c r="G452" s="69" t="s">
        <v>102</v>
      </c>
      <c r="H452" s="69" t="s">
        <v>103</v>
      </c>
      <c r="I452" s="69" t="s">
        <v>104</v>
      </c>
      <c r="J452" s="250">
        <v>77</v>
      </c>
      <c r="K452" s="250" t="s">
        <v>105</v>
      </c>
      <c r="L452" s="71" t="s">
        <v>106</v>
      </c>
      <c r="M452" s="250">
        <v>40760111</v>
      </c>
      <c r="N452" s="68"/>
      <c r="O452" s="73"/>
      <c r="P452" s="68">
        <f>S448*0.25%</f>
        <v>14634.779623083152</v>
      </c>
      <c r="Q452" s="73">
        <v>6.1499999999999999E-2</v>
      </c>
      <c r="R452" s="74">
        <f>Q452*P452</f>
        <v>900.03894681961378</v>
      </c>
      <c r="S452" s="194">
        <f>P452*(1-Q452)</f>
        <v>13734.740676263538</v>
      </c>
      <c r="T452" s="152" t="s">
        <v>107</v>
      </c>
    </row>
    <row r="453" spans="2:20" ht="12" customHeight="1" x14ac:dyDescent="0.2">
      <c r="G453" s="121" t="s">
        <v>51</v>
      </c>
      <c r="H453" s="121"/>
      <c r="I453" s="121"/>
      <c r="J453" s="266"/>
      <c r="K453" s="266"/>
      <c r="L453" s="266"/>
      <c r="M453" s="266"/>
      <c r="N453" s="122"/>
      <c r="O453" s="123"/>
      <c r="P453" s="122"/>
      <c r="Q453" s="123"/>
      <c r="R453" s="124"/>
      <c r="S453" s="195">
        <f>SUM(S454:S455)</f>
        <v>13776.623158972143</v>
      </c>
    </row>
    <row r="454" spans="2:20" ht="12" customHeight="1" x14ac:dyDescent="0.2">
      <c r="B454" s="250" t="s">
        <v>52</v>
      </c>
      <c r="C454" s="69"/>
      <c r="D454" s="125"/>
      <c r="E454" s="69"/>
      <c r="F454" s="69"/>
      <c r="G454" s="126" t="s">
        <v>53</v>
      </c>
      <c r="H454" s="69" t="s">
        <v>25</v>
      </c>
      <c r="I454" s="69" t="s">
        <v>26</v>
      </c>
      <c r="J454" s="267"/>
      <c r="K454" s="267"/>
      <c r="L454" s="267"/>
      <c r="M454" s="267"/>
      <c r="N454" s="68"/>
      <c r="O454" s="73"/>
      <c r="P454" s="127"/>
      <c r="Q454" s="73"/>
      <c r="R454" s="74"/>
      <c r="S454" s="194">
        <f>SUM(R449:R451)</f>
        <v>12876.584212152529</v>
      </c>
      <c r="T454" s="68"/>
    </row>
    <row r="455" spans="2:20" ht="12" customHeight="1" x14ac:dyDescent="0.2">
      <c r="B455" s="62" t="s">
        <v>52</v>
      </c>
      <c r="C455" s="17"/>
      <c r="D455" s="138"/>
      <c r="E455" s="17"/>
      <c r="F455" s="17"/>
      <c r="G455" s="139" t="s">
        <v>108</v>
      </c>
      <c r="H455" s="17" t="s">
        <v>103</v>
      </c>
      <c r="I455" s="17" t="s">
        <v>104</v>
      </c>
      <c r="J455" s="249"/>
      <c r="K455" s="249"/>
      <c r="L455" s="249"/>
      <c r="M455" s="249"/>
      <c r="N455" s="60"/>
      <c r="O455" s="65"/>
      <c r="P455" s="140"/>
      <c r="Q455" s="65"/>
      <c r="R455" s="137"/>
      <c r="S455" s="193">
        <f>SUM(R452)</f>
        <v>900.03894681961378</v>
      </c>
      <c r="T455" s="60"/>
    </row>
    <row r="456" spans="2:20" ht="12" customHeight="1" x14ac:dyDescent="0.2">
      <c r="B456" s="250" t="s">
        <v>23</v>
      </c>
      <c r="C456" s="69"/>
      <c r="D456" s="125"/>
      <c r="E456" s="69"/>
      <c r="F456" s="69"/>
      <c r="G456" s="69" t="s">
        <v>110</v>
      </c>
      <c r="H456" s="69" t="s">
        <v>46</v>
      </c>
      <c r="I456" s="69" t="s">
        <v>47</v>
      </c>
      <c r="J456" s="248">
        <v>341</v>
      </c>
      <c r="K456" s="248" t="s">
        <v>27</v>
      </c>
      <c r="L456" s="248" t="s">
        <v>76</v>
      </c>
      <c r="M456" s="248" t="s">
        <v>81</v>
      </c>
      <c r="N456" s="68"/>
      <c r="O456" s="73"/>
      <c r="P456" s="127"/>
      <c r="Q456" s="73"/>
      <c r="R456" s="74"/>
      <c r="S456" s="194">
        <f>S448-SUM(S449:S453)-S457</f>
        <v>5285387.8265670473</v>
      </c>
      <c r="T456" s="68"/>
    </row>
    <row r="457" spans="2:20" ht="12" customHeight="1" x14ac:dyDescent="0.2">
      <c r="B457" s="62" t="s">
        <v>23</v>
      </c>
      <c r="C457" s="17"/>
      <c r="D457" s="138"/>
      <c r="E457" s="17"/>
      <c r="F457" s="17"/>
      <c r="G457" s="17" t="s">
        <v>75</v>
      </c>
      <c r="H457" s="17" t="s">
        <v>46</v>
      </c>
      <c r="I457" s="17" t="s">
        <v>47</v>
      </c>
      <c r="J457" s="213">
        <v>341</v>
      </c>
      <c r="K457" s="213" t="s">
        <v>27</v>
      </c>
      <c r="L457" s="213" t="s">
        <v>76</v>
      </c>
      <c r="M457" s="213" t="s">
        <v>81</v>
      </c>
      <c r="N457" s="67"/>
      <c r="O457" s="65"/>
      <c r="P457" s="140"/>
      <c r="Q457" s="65"/>
      <c r="R457" s="137"/>
      <c r="S457" s="193">
        <v>344513.89</v>
      </c>
      <c r="T457" s="60"/>
    </row>
    <row r="458" spans="2:20" ht="12" customHeight="1" x14ac:dyDescent="0.2">
      <c r="B458" s="254"/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5"/>
      <c r="P458" s="255"/>
      <c r="Q458" s="255"/>
      <c r="R458" s="255"/>
      <c r="S458" s="255"/>
      <c r="T458" s="254"/>
    </row>
    <row r="459" spans="2:20" ht="12" customHeight="1" x14ac:dyDescent="0.25">
      <c r="B459" s="47" t="s">
        <v>20</v>
      </c>
      <c r="C459" s="48">
        <v>326</v>
      </c>
      <c r="D459" s="49">
        <v>44253</v>
      </c>
      <c r="E459" s="50">
        <v>959.35081505000005</v>
      </c>
      <c r="F459" s="51">
        <v>750</v>
      </c>
      <c r="G459" s="52" t="s">
        <v>20</v>
      </c>
      <c r="H459" s="53"/>
      <c r="I459" s="53"/>
      <c r="J459" s="54"/>
      <c r="K459" s="54"/>
      <c r="L459" s="55"/>
      <c r="M459" s="54"/>
      <c r="N459" s="47"/>
      <c r="O459" s="56"/>
      <c r="P459" s="47"/>
      <c r="Q459" s="56"/>
      <c r="R459" s="57"/>
      <c r="S459" s="192">
        <f>TRUNC(E459*F459,2)</f>
        <v>719513.11</v>
      </c>
      <c r="T459" s="68"/>
    </row>
    <row r="460" spans="2:20" ht="12" customHeight="1" x14ac:dyDescent="0.25">
      <c r="B460" s="47" t="s">
        <v>20</v>
      </c>
      <c r="C460" s="48">
        <v>327</v>
      </c>
      <c r="D460" s="49">
        <v>44253</v>
      </c>
      <c r="E460" s="50">
        <v>923.19918360999998</v>
      </c>
      <c r="F460" s="51">
        <v>1474</v>
      </c>
      <c r="G460" s="52" t="s">
        <v>20</v>
      </c>
      <c r="H460" s="53"/>
      <c r="I460" s="53"/>
      <c r="J460" s="54"/>
      <c r="K460" s="54"/>
      <c r="L460" s="55"/>
      <c r="M460" s="54"/>
      <c r="N460" s="47"/>
      <c r="O460" s="56"/>
      <c r="P460" s="47"/>
      <c r="Q460" s="56"/>
      <c r="R460" s="57"/>
      <c r="S460" s="192">
        <f t="shared" ref="S460:S462" si="33">TRUNC(E460*F460,2)</f>
        <v>1360795.59</v>
      </c>
      <c r="T460" s="68"/>
    </row>
    <row r="461" spans="2:20" ht="12" customHeight="1" x14ac:dyDescent="0.25">
      <c r="B461" s="47" t="s">
        <v>20</v>
      </c>
      <c r="C461" s="48">
        <v>329</v>
      </c>
      <c r="D461" s="49">
        <v>44253</v>
      </c>
      <c r="E461" s="50">
        <v>1000.9703999</v>
      </c>
      <c r="F461" s="51">
        <v>2303</v>
      </c>
      <c r="G461" s="52" t="s">
        <v>20</v>
      </c>
      <c r="H461" s="53"/>
      <c r="I461" s="53"/>
      <c r="J461" s="54"/>
      <c r="K461" s="54"/>
      <c r="L461" s="55"/>
      <c r="M461" s="54"/>
      <c r="N461" s="47"/>
      <c r="O461" s="56"/>
      <c r="P461" s="47"/>
      <c r="Q461" s="56"/>
      <c r="R461" s="57"/>
      <c r="S461" s="192">
        <f t="shared" si="33"/>
        <v>2305234.83</v>
      </c>
      <c r="T461" s="68"/>
    </row>
    <row r="462" spans="2:20" ht="12" customHeight="1" x14ac:dyDescent="0.25">
      <c r="B462" s="47" t="s">
        <v>20</v>
      </c>
      <c r="C462" s="48">
        <v>330</v>
      </c>
      <c r="D462" s="49">
        <v>44253</v>
      </c>
      <c r="E462" s="50">
        <v>1001.30780413</v>
      </c>
      <c r="F462" s="51">
        <v>1473</v>
      </c>
      <c r="G462" s="52" t="s">
        <v>20</v>
      </c>
      <c r="H462" s="53"/>
      <c r="I462" s="53"/>
      <c r="J462" s="54"/>
      <c r="K462" s="54"/>
      <c r="L462" s="55"/>
      <c r="M462" s="54"/>
      <c r="N462" s="47"/>
      <c r="O462" s="56"/>
      <c r="P462" s="47"/>
      <c r="Q462" s="56"/>
      <c r="R462" s="57"/>
      <c r="S462" s="192">
        <f t="shared" si="33"/>
        <v>1474926.39</v>
      </c>
      <c r="T462" s="68"/>
    </row>
    <row r="463" spans="2:20" ht="12" customHeight="1" x14ac:dyDescent="0.25">
      <c r="B463" s="47" t="s">
        <v>20</v>
      </c>
      <c r="C463" s="48" t="s">
        <v>21</v>
      </c>
      <c r="D463" s="49"/>
      <c r="E463" s="50"/>
      <c r="F463" s="51"/>
      <c r="G463" s="52" t="s">
        <v>22</v>
      </c>
      <c r="H463" s="53"/>
      <c r="I463" s="53"/>
      <c r="J463" s="54"/>
      <c r="K463" s="54"/>
      <c r="L463" s="55"/>
      <c r="M463" s="54"/>
      <c r="N463" s="47"/>
      <c r="O463" s="56"/>
      <c r="P463" s="47"/>
      <c r="Q463" s="56"/>
      <c r="R463" s="57"/>
      <c r="S463" s="192">
        <f>SUM(S459:S462)</f>
        <v>5860469.9199999999</v>
      </c>
      <c r="T463" s="68"/>
    </row>
    <row r="464" spans="2:20" ht="12" customHeight="1" x14ac:dyDescent="0.25">
      <c r="B464" s="150" t="s">
        <v>23</v>
      </c>
      <c r="C464" s="17"/>
      <c r="D464" s="61"/>
      <c r="E464" s="17"/>
      <c r="F464" s="256"/>
      <c r="G464" s="17" t="s">
        <v>24</v>
      </c>
      <c r="H464" s="17" t="s">
        <v>25</v>
      </c>
      <c r="I464" s="17" t="s">
        <v>26</v>
      </c>
      <c r="J464" s="62">
        <v>341</v>
      </c>
      <c r="K464" s="62" t="s">
        <v>27</v>
      </c>
      <c r="L464" s="63" t="s">
        <v>28</v>
      </c>
      <c r="M464" s="62" t="s">
        <v>29</v>
      </c>
      <c r="N464" s="60">
        <f>S463*0.5%</f>
        <v>29302.349600000001</v>
      </c>
      <c r="O464" s="65">
        <v>0.1115</v>
      </c>
      <c r="P464" s="60">
        <f>N464/(1-O464)</f>
        <v>32979.571862689932</v>
      </c>
      <c r="Q464" s="65">
        <v>6.1499999999999999E-2</v>
      </c>
      <c r="R464" s="66">
        <f>Q464*P464</f>
        <v>2028.2436695554309</v>
      </c>
      <c r="S464" s="193">
        <f>P464*(1-Q464)</f>
        <v>30951.328193134501</v>
      </c>
      <c r="T464" s="67" t="s">
        <v>77</v>
      </c>
    </row>
    <row r="465" spans="2:20" ht="12" customHeight="1" x14ac:dyDescent="0.25">
      <c r="B465" s="68" t="s">
        <v>23</v>
      </c>
      <c r="C465" s="69"/>
      <c r="D465" s="49"/>
      <c r="E465" s="69"/>
      <c r="F465" s="69"/>
      <c r="G465" s="69" t="s">
        <v>30</v>
      </c>
      <c r="H465" s="69" t="s">
        <v>25</v>
      </c>
      <c r="I465" s="69" t="s">
        <v>26</v>
      </c>
      <c r="J465" s="252">
        <v>341</v>
      </c>
      <c r="K465" s="252" t="s">
        <v>27</v>
      </c>
      <c r="L465" s="71" t="s">
        <v>28</v>
      </c>
      <c r="M465" s="252" t="s">
        <v>29</v>
      </c>
      <c r="N465" s="68">
        <f>S463*2%</f>
        <v>117209.39840000001</v>
      </c>
      <c r="O465" s="73">
        <v>0.1115</v>
      </c>
      <c r="P465" s="68">
        <f>(N465/(1-O465))-P467</f>
        <v>117267.11265075972</v>
      </c>
      <c r="Q465" s="73">
        <v>6.1499999999999999E-2</v>
      </c>
      <c r="R465" s="74">
        <f>Q465*P465</f>
        <v>7211.9274280217232</v>
      </c>
      <c r="S465" s="194">
        <f>P465*(1-Q465)</f>
        <v>110055.185222738</v>
      </c>
      <c r="T465" s="152" t="s">
        <v>72</v>
      </c>
    </row>
    <row r="466" spans="2:20" ht="12" customHeight="1" x14ac:dyDescent="0.25">
      <c r="B466" s="150" t="s">
        <v>23</v>
      </c>
      <c r="C466" s="17"/>
      <c r="D466" s="61"/>
      <c r="E466" s="17"/>
      <c r="F466" s="17"/>
      <c r="G466" s="17" t="s">
        <v>83</v>
      </c>
      <c r="H466" s="17" t="s">
        <v>25</v>
      </c>
      <c r="I466" s="17" t="s">
        <v>26</v>
      </c>
      <c r="J466" s="62">
        <v>341</v>
      </c>
      <c r="K466" s="62" t="s">
        <v>27</v>
      </c>
      <c r="L466" s="63" t="s">
        <v>28</v>
      </c>
      <c r="M466" s="62" t="s">
        <v>29</v>
      </c>
      <c r="N466" s="60">
        <f>S463*0.9%</f>
        <v>52744.229280000007</v>
      </c>
      <c r="O466" s="65">
        <v>0.1115</v>
      </c>
      <c r="P466" s="60">
        <f>N466/(1-O466)</f>
        <v>59363.229352841881</v>
      </c>
      <c r="Q466" s="65">
        <v>6.1499999999999999E-2</v>
      </c>
      <c r="R466" s="66">
        <f>Q466*P466</f>
        <v>3650.8386051997754</v>
      </c>
      <c r="S466" s="193">
        <f>P466*(1-Q466)</f>
        <v>55712.390747642108</v>
      </c>
      <c r="T466" s="67" t="s">
        <v>78</v>
      </c>
    </row>
    <row r="467" spans="2:20" ht="12" customHeight="1" x14ac:dyDescent="0.25">
      <c r="B467" s="68" t="s">
        <v>113</v>
      </c>
      <c r="C467" s="69"/>
      <c r="D467" s="49"/>
      <c r="E467" s="69"/>
      <c r="F467" s="69"/>
      <c r="G467" s="69" t="s">
        <v>102</v>
      </c>
      <c r="H467" s="69" t="s">
        <v>103</v>
      </c>
      <c r="I467" s="69" t="s">
        <v>104</v>
      </c>
      <c r="J467" s="252">
        <v>77</v>
      </c>
      <c r="K467" s="252" t="s">
        <v>105</v>
      </c>
      <c r="L467" s="71" t="s">
        <v>106</v>
      </c>
      <c r="M467" s="252">
        <v>40760111</v>
      </c>
      <c r="N467" s="68"/>
      <c r="O467" s="73"/>
      <c r="P467" s="68">
        <f>S463*0.25%</f>
        <v>14651.174800000001</v>
      </c>
      <c r="Q467" s="73">
        <v>6.1499999999999999E-2</v>
      </c>
      <c r="R467" s="74">
        <f>Q467*P467</f>
        <v>901.04725020000001</v>
      </c>
      <c r="S467" s="194">
        <f>P467*(1-Q467)</f>
        <v>13750.127549800001</v>
      </c>
      <c r="T467" s="152" t="s">
        <v>107</v>
      </c>
    </row>
    <row r="468" spans="2:20" ht="12" customHeight="1" x14ac:dyDescent="0.2">
      <c r="G468" s="121" t="s">
        <v>51</v>
      </c>
      <c r="H468" s="121"/>
      <c r="I468" s="121"/>
      <c r="J468" s="266"/>
      <c r="K468" s="266"/>
      <c r="L468" s="266"/>
      <c r="M468" s="266"/>
      <c r="N468" s="122"/>
      <c r="O468" s="123"/>
      <c r="P468" s="122"/>
      <c r="Q468" s="123"/>
      <c r="R468" s="124"/>
      <c r="S468" s="195">
        <f>SUM(S469:S470)</f>
        <v>13792.056952976929</v>
      </c>
    </row>
    <row r="469" spans="2:20" ht="12" customHeight="1" x14ac:dyDescent="0.2">
      <c r="B469" s="252" t="s">
        <v>52</v>
      </c>
      <c r="C469" s="69"/>
      <c r="D469" s="125"/>
      <c r="E469" s="69"/>
      <c r="F469" s="69"/>
      <c r="G469" s="126" t="s">
        <v>53</v>
      </c>
      <c r="H469" s="69" t="s">
        <v>25</v>
      </c>
      <c r="I469" s="69" t="s">
        <v>26</v>
      </c>
      <c r="J469" s="267"/>
      <c r="K469" s="267"/>
      <c r="L469" s="267"/>
      <c r="M469" s="267"/>
      <c r="N469" s="68"/>
      <c r="O469" s="73"/>
      <c r="P469" s="127"/>
      <c r="Q469" s="73"/>
      <c r="R469" s="74"/>
      <c r="S469" s="194">
        <f>SUM(R464:R466)</f>
        <v>12891.00970277693</v>
      </c>
      <c r="T469" s="68"/>
    </row>
    <row r="470" spans="2:20" ht="12" customHeight="1" x14ac:dyDescent="0.2">
      <c r="B470" s="62" t="s">
        <v>52</v>
      </c>
      <c r="C470" s="17"/>
      <c r="D470" s="138"/>
      <c r="E470" s="17"/>
      <c r="F470" s="17"/>
      <c r="G470" s="139" t="s">
        <v>108</v>
      </c>
      <c r="H470" s="17" t="s">
        <v>103</v>
      </c>
      <c r="I470" s="17" t="s">
        <v>104</v>
      </c>
      <c r="J470" s="253"/>
      <c r="K470" s="253"/>
      <c r="L470" s="253"/>
      <c r="M470" s="253"/>
      <c r="N470" s="60"/>
      <c r="O470" s="65"/>
      <c r="P470" s="140"/>
      <c r="Q470" s="65"/>
      <c r="R470" s="137"/>
      <c r="S470" s="193">
        <f>SUM(R467)</f>
        <v>901.04725020000001</v>
      </c>
      <c r="T470" s="60"/>
    </row>
    <row r="471" spans="2:20" ht="12" customHeight="1" x14ac:dyDescent="0.2">
      <c r="B471" s="252" t="s">
        <v>23</v>
      </c>
      <c r="C471" s="69"/>
      <c r="D471" s="125"/>
      <c r="E471" s="69"/>
      <c r="F471" s="69"/>
      <c r="G471" s="69" t="s">
        <v>110</v>
      </c>
      <c r="H471" s="69" t="s">
        <v>46</v>
      </c>
      <c r="I471" s="69" t="s">
        <v>47</v>
      </c>
      <c r="J471" s="251">
        <v>341</v>
      </c>
      <c r="K471" s="251" t="s">
        <v>27</v>
      </c>
      <c r="L471" s="251" t="s">
        <v>76</v>
      </c>
      <c r="M471" s="251" t="s">
        <v>81</v>
      </c>
      <c r="N471" s="68"/>
      <c r="O471" s="73"/>
      <c r="P471" s="127"/>
      <c r="Q471" s="73"/>
      <c r="R471" s="74"/>
      <c r="S471" s="194">
        <f>S463-SUM(S464:S468)-S472</f>
        <v>5291698.7313337084</v>
      </c>
      <c r="T471" s="68"/>
    </row>
    <row r="472" spans="2:20" ht="12" customHeight="1" x14ac:dyDescent="0.2">
      <c r="B472" s="62" t="s">
        <v>23</v>
      </c>
      <c r="C472" s="17"/>
      <c r="D472" s="138"/>
      <c r="E472" s="17"/>
      <c r="F472" s="17"/>
      <c r="G472" s="17" t="s">
        <v>75</v>
      </c>
      <c r="H472" s="17" t="s">
        <v>46</v>
      </c>
      <c r="I472" s="17" t="s">
        <v>47</v>
      </c>
      <c r="J472" s="213">
        <v>341</v>
      </c>
      <c r="K472" s="213" t="s">
        <v>27</v>
      </c>
      <c r="L472" s="213" t="s">
        <v>76</v>
      </c>
      <c r="M472" s="213" t="s">
        <v>81</v>
      </c>
      <c r="N472" s="67"/>
      <c r="O472" s="65"/>
      <c r="P472" s="140"/>
      <c r="Q472" s="65"/>
      <c r="R472" s="137"/>
      <c r="S472" s="193">
        <v>344510.1</v>
      </c>
      <c r="T472" s="60"/>
    </row>
    <row r="473" spans="2:20" ht="13.5" customHeight="1" x14ac:dyDescent="0.2">
      <c r="B473" s="254"/>
      <c r="C473" s="254"/>
      <c r="D473" s="254"/>
      <c r="E473" s="254"/>
      <c r="F473" s="254"/>
      <c r="G473" s="254"/>
      <c r="H473" s="254"/>
      <c r="I473" s="254"/>
      <c r="J473" s="254"/>
      <c r="K473" s="254"/>
      <c r="L473" s="254"/>
      <c r="M473" s="254"/>
      <c r="N473" s="254"/>
      <c r="O473" s="255"/>
      <c r="P473" s="255"/>
      <c r="Q473" s="255"/>
      <c r="R473" s="255"/>
      <c r="S473" s="255"/>
      <c r="T473" s="254"/>
    </row>
    <row r="474" spans="2:20" ht="13.5" customHeight="1" x14ac:dyDescent="0.25">
      <c r="B474" s="47" t="s">
        <v>20</v>
      </c>
      <c r="C474" s="48">
        <v>329</v>
      </c>
      <c r="D474" s="49">
        <v>44298</v>
      </c>
      <c r="E474" s="260">
        <v>977.26459857999998</v>
      </c>
      <c r="F474" s="51">
        <v>2394</v>
      </c>
      <c r="G474" s="52" t="s">
        <v>20</v>
      </c>
      <c r="H474" s="53"/>
      <c r="I474" s="53"/>
      <c r="J474" s="54"/>
      <c r="K474" s="54"/>
      <c r="L474" s="55"/>
      <c r="M474" s="54"/>
      <c r="N474" s="47"/>
      <c r="O474" s="56"/>
      <c r="P474" s="47"/>
      <c r="Q474" s="56"/>
      <c r="R474" s="57"/>
      <c r="S474" s="192">
        <f>TRUNC(E474*F474,2)</f>
        <v>2339571.44</v>
      </c>
      <c r="T474" s="68"/>
    </row>
    <row r="475" spans="2:20" ht="13.5" customHeight="1" x14ac:dyDescent="0.25">
      <c r="B475" s="47" t="s">
        <v>20</v>
      </c>
      <c r="C475" s="48">
        <v>330</v>
      </c>
      <c r="D475" s="49">
        <v>44298</v>
      </c>
      <c r="E475" s="260">
        <v>980.88789924000002</v>
      </c>
      <c r="F475" s="51">
        <v>253</v>
      </c>
      <c r="G475" s="52" t="s">
        <v>20</v>
      </c>
      <c r="H475" s="53"/>
      <c r="I475" s="53"/>
      <c r="J475" s="54"/>
      <c r="K475" s="54"/>
      <c r="L475" s="55"/>
      <c r="M475" s="54"/>
      <c r="N475" s="47"/>
      <c r="O475" s="56"/>
      <c r="P475" s="47"/>
      <c r="Q475" s="56"/>
      <c r="R475" s="57"/>
      <c r="S475" s="192">
        <f t="shared" ref="S475:S478" si="34">TRUNC(E475*F475,2)</f>
        <v>248164.63</v>
      </c>
      <c r="T475" s="68"/>
    </row>
    <row r="476" spans="2:20" ht="13.5" customHeight="1" x14ac:dyDescent="0.25">
      <c r="B476" s="47" t="s">
        <v>20</v>
      </c>
      <c r="C476" s="48">
        <v>331</v>
      </c>
      <c r="D476" s="49">
        <v>44298</v>
      </c>
      <c r="E476" s="260">
        <v>915.62451241999997</v>
      </c>
      <c r="F476" s="51">
        <v>2026</v>
      </c>
      <c r="G476" s="52" t="s">
        <v>20</v>
      </c>
      <c r="H476" s="53"/>
      <c r="I476" s="53"/>
      <c r="J476" s="54"/>
      <c r="K476" s="54"/>
      <c r="L476" s="55"/>
      <c r="M476" s="54"/>
      <c r="N476" s="47"/>
      <c r="O476" s="56"/>
      <c r="P476" s="47"/>
      <c r="Q476" s="56"/>
      <c r="R476" s="57"/>
      <c r="S476" s="192">
        <f t="shared" si="34"/>
        <v>1855055.26</v>
      </c>
      <c r="T476" s="68"/>
    </row>
    <row r="477" spans="2:20" ht="13.5" customHeight="1" x14ac:dyDescent="0.25">
      <c r="B477" s="47" t="s">
        <v>20</v>
      </c>
      <c r="C477" s="48">
        <v>333</v>
      </c>
      <c r="D477" s="49">
        <v>44298</v>
      </c>
      <c r="E477" s="260">
        <v>1000</v>
      </c>
      <c r="F477" s="51">
        <v>4800</v>
      </c>
      <c r="G477" s="52" t="s">
        <v>20</v>
      </c>
      <c r="H477" s="53"/>
      <c r="I477" s="53"/>
      <c r="J477" s="54"/>
      <c r="K477" s="54"/>
      <c r="L477" s="55"/>
      <c r="M477" s="54"/>
      <c r="N477" s="47"/>
      <c r="O477" s="56"/>
      <c r="P477" s="47"/>
      <c r="Q477" s="56"/>
      <c r="R477" s="57"/>
      <c r="S477" s="192">
        <f t="shared" si="34"/>
        <v>4800000</v>
      </c>
      <c r="T477" s="68"/>
    </row>
    <row r="478" spans="2:20" ht="13.5" customHeight="1" x14ac:dyDescent="0.25">
      <c r="B478" s="47" t="s">
        <v>20</v>
      </c>
      <c r="C478" s="48">
        <v>334</v>
      </c>
      <c r="D478" s="49">
        <v>44298</v>
      </c>
      <c r="E478" s="260">
        <v>1000</v>
      </c>
      <c r="F478" s="51">
        <v>6000</v>
      </c>
      <c r="G478" s="52" t="s">
        <v>20</v>
      </c>
      <c r="H478" s="53"/>
      <c r="I478" s="53"/>
      <c r="J478" s="54"/>
      <c r="K478" s="54"/>
      <c r="L478" s="55"/>
      <c r="M478" s="54"/>
      <c r="N478" s="47"/>
      <c r="O478" s="56"/>
      <c r="P478" s="47"/>
      <c r="Q478" s="56"/>
      <c r="R478" s="57"/>
      <c r="S478" s="192">
        <f t="shared" si="34"/>
        <v>6000000</v>
      </c>
      <c r="T478" s="68"/>
    </row>
    <row r="479" spans="2:20" ht="13.5" customHeight="1" x14ac:dyDescent="0.25">
      <c r="B479" s="47" t="s">
        <v>20</v>
      </c>
      <c r="C479" s="48" t="s">
        <v>21</v>
      </c>
      <c r="D479" s="49"/>
      <c r="E479" s="50"/>
      <c r="F479" s="51"/>
      <c r="G479" s="52" t="s">
        <v>22</v>
      </c>
      <c r="H479" s="53"/>
      <c r="I479" s="53"/>
      <c r="J479" s="54"/>
      <c r="K479" s="54"/>
      <c r="L479" s="55"/>
      <c r="M479" s="54"/>
      <c r="N479" s="47"/>
      <c r="O479" s="56"/>
      <c r="P479" s="47"/>
      <c r="Q479" s="56"/>
      <c r="R479" s="57"/>
      <c r="S479" s="192">
        <f>SUM(S474:S478)</f>
        <v>15242791.33</v>
      </c>
      <c r="T479" s="68"/>
    </row>
    <row r="480" spans="2:20" ht="13.5" customHeight="1" x14ac:dyDescent="0.25">
      <c r="B480" s="150" t="s">
        <v>23</v>
      </c>
      <c r="C480" s="17"/>
      <c r="D480" s="61"/>
      <c r="E480" s="17"/>
      <c r="F480" s="256"/>
      <c r="G480" s="17" t="s">
        <v>24</v>
      </c>
      <c r="H480" s="17" t="s">
        <v>25</v>
      </c>
      <c r="I480" s="17" t="s">
        <v>26</v>
      </c>
      <c r="J480" s="62">
        <v>341</v>
      </c>
      <c r="K480" s="62" t="s">
        <v>27</v>
      </c>
      <c r="L480" s="63" t="s">
        <v>28</v>
      </c>
      <c r="M480" s="62" t="s">
        <v>29</v>
      </c>
      <c r="N480" s="60">
        <f>S479*0.5%</f>
        <v>76213.956650000007</v>
      </c>
      <c r="O480" s="65">
        <v>0.1115</v>
      </c>
      <c r="P480" s="60">
        <f>N480/(1-O480)</f>
        <v>85778.229206527874</v>
      </c>
      <c r="Q480" s="65">
        <v>6.1499999999999999E-2</v>
      </c>
      <c r="R480" s="66">
        <f>Q480*P480</f>
        <v>5275.3610962014645</v>
      </c>
      <c r="S480" s="193">
        <f>P480*(1-Q480)</f>
        <v>80502.86811032641</v>
      </c>
      <c r="T480" s="67" t="s">
        <v>77</v>
      </c>
    </row>
    <row r="481" spans="1:20" ht="13.5" customHeight="1" x14ac:dyDescent="0.25">
      <c r="B481" s="68" t="s">
        <v>23</v>
      </c>
      <c r="C481" s="69"/>
      <c r="D481" s="49"/>
      <c r="E481" s="69"/>
      <c r="F481" s="69"/>
      <c r="G481" s="69" t="s">
        <v>30</v>
      </c>
      <c r="H481" s="69" t="s">
        <v>25</v>
      </c>
      <c r="I481" s="69" t="s">
        <v>26</v>
      </c>
      <c r="J481" s="259">
        <v>341</v>
      </c>
      <c r="K481" s="259" t="s">
        <v>27</v>
      </c>
      <c r="L481" s="71" t="s">
        <v>28</v>
      </c>
      <c r="M481" s="259" t="s">
        <v>29</v>
      </c>
      <c r="N481" s="68">
        <f>S479*2%</f>
        <v>304855.82660000003</v>
      </c>
      <c r="O481" s="73">
        <v>0.1115</v>
      </c>
      <c r="P481" s="68">
        <f>(N481/(1-O481))-P483</f>
        <v>305005.93850111146</v>
      </c>
      <c r="Q481" s="73">
        <v>6.1499999999999999E-2</v>
      </c>
      <c r="R481" s="74">
        <f>Q481*P481</f>
        <v>18757.865217818355</v>
      </c>
      <c r="S481" s="194">
        <f>P481*(1-Q481)</f>
        <v>286248.07328329311</v>
      </c>
      <c r="T481" s="152" t="s">
        <v>72</v>
      </c>
    </row>
    <row r="482" spans="1:20" ht="13.5" customHeight="1" x14ac:dyDescent="0.25">
      <c r="B482" s="150" t="s">
        <v>23</v>
      </c>
      <c r="C482" s="17"/>
      <c r="D482" s="61"/>
      <c r="E482" s="17"/>
      <c r="F482" s="17"/>
      <c r="G482" s="17" t="s">
        <v>83</v>
      </c>
      <c r="H482" s="17" t="s">
        <v>25</v>
      </c>
      <c r="I482" s="17" t="s">
        <v>26</v>
      </c>
      <c r="J482" s="62">
        <v>341</v>
      </c>
      <c r="K482" s="62" t="s">
        <v>27</v>
      </c>
      <c r="L482" s="63" t="s">
        <v>28</v>
      </c>
      <c r="M482" s="62" t="s">
        <v>29</v>
      </c>
      <c r="N482" s="60">
        <f>S479*0.9%</f>
        <v>137185.12197000001</v>
      </c>
      <c r="O482" s="65">
        <v>0.1115</v>
      </c>
      <c r="P482" s="60">
        <f>N482/(1-O482)</f>
        <v>154400.81257175017</v>
      </c>
      <c r="Q482" s="65">
        <v>6.1499999999999999E-2</v>
      </c>
      <c r="R482" s="66">
        <f>Q482*P482</f>
        <v>9495.6499731626354</v>
      </c>
      <c r="S482" s="193">
        <f>P482*(1-Q482)</f>
        <v>144905.16259858754</v>
      </c>
      <c r="T482" s="67" t="s">
        <v>78</v>
      </c>
    </row>
    <row r="483" spans="1:20" ht="13.5" customHeight="1" x14ac:dyDescent="0.25">
      <c r="B483" s="68" t="s">
        <v>113</v>
      </c>
      <c r="C483" s="69"/>
      <c r="D483" s="49"/>
      <c r="E483" s="69"/>
      <c r="F483" s="69"/>
      <c r="G483" s="69" t="s">
        <v>102</v>
      </c>
      <c r="H483" s="69" t="s">
        <v>103</v>
      </c>
      <c r="I483" s="69" t="s">
        <v>104</v>
      </c>
      <c r="J483" s="259">
        <v>77</v>
      </c>
      <c r="K483" s="259" t="s">
        <v>105</v>
      </c>
      <c r="L483" s="71" t="s">
        <v>106</v>
      </c>
      <c r="M483" s="259">
        <v>40760111</v>
      </c>
      <c r="N483" s="68"/>
      <c r="O483" s="73"/>
      <c r="P483" s="68">
        <f>S479*0.25%</f>
        <v>38106.978325000004</v>
      </c>
      <c r="Q483" s="73">
        <v>6.1499999999999999E-2</v>
      </c>
      <c r="R483" s="74">
        <f>Q483*P483</f>
        <v>2343.5791669875002</v>
      </c>
      <c r="S483" s="194">
        <f>P483*(1-Q483)</f>
        <v>35763.3991580125</v>
      </c>
      <c r="T483" s="152" t="s">
        <v>107</v>
      </c>
    </row>
    <row r="484" spans="1:20" ht="13.5" customHeight="1" x14ac:dyDescent="0.2">
      <c r="G484" s="121" t="s">
        <v>51</v>
      </c>
      <c r="H484" s="121"/>
      <c r="I484" s="121"/>
      <c r="J484" s="266"/>
      <c r="K484" s="266"/>
      <c r="L484" s="266"/>
      <c r="M484" s="266"/>
      <c r="N484" s="122"/>
      <c r="O484" s="123"/>
      <c r="P484" s="122"/>
      <c r="Q484" s="123"/>
      <c r="R484" s="124"/>
      <c r="S484" s="195">
        <f>SUM(S485:S486)</f>
        <v>35872.455454169962</v>
      </c>
    </row>
    <row r="485" spans="1:20" ht="13.5" customHeight="1" x14ac:dyDescent="0.2">
      <c r="B485" s="259" t="s">
        <v>52</v>
      </c>
      <c r="C485" s="69"/>
      <c r="D485" s="125"/>
      <c r="E485" s="69"/>
      <c r="F485" s="69"/>
      <c r="G485" s="126" t="s">
        <v>53</v>
      </c>
      <c r="H485" s="69" t="s">
        <v>25</v>
      </c>
      <c r="I485" s="69" t="s">
        <v>26</v>
      </c>
      <c r="J485" s="267"/>
      <c r="K485" s="267"/>
      <c r="L485" s="267"/>
      <c r="M485" s="267"/>
      <c r="N485" s="68"/>
      <c r="O485" s="73"/>
      <c r="P485" s="127"/>
      <c r="Q485" s="73"/>
      <c r="R485" s="74"/>
      <c r="S485" s="194">
        <f>SUM(R480:R482)</f>
        <v>33528.876287182458</v>
      </c>
      <c r="T485" s="68"/>
    </row>
    <row r="486" spans="1:20" ht="13.5" customHeight="1" x14ac:dyDescent="0.2">
      <c r="B486" s="62" t="s">
        <v>52</v>
      </c>
      <c r="C486" s="17"/>
      <c r="D486" s="138"/>
      <c r="E486" s="17"/>
      <c r="F486" s="17"/>
      <c r="G486" s="139" t="s">
        <v>108</v>
      </c>
      <c r="H486" s="17" t="s">
        <v>103</v>
      </c>
      <c r="I486" s="17" t="s">
        <v>104</v>
      </c>
      <c r="J486" s="258"/>
      <c r="K486" s="258"/>
      <c r="L486" s="258"/>
      <c r="M486" s="258"/>
      <c r="N486" s="60"/>
      <c r="O486" s="65"/>
      <c r="P486" s="140"/>
      <c r="Q486" s="65"/>
      <c r="R486" s="137"/>
      <c r="S486" s="193">
        <f>SUM(R483)</f>
        <v>2343.5791669875002</v>
      </c>
      <c r="T486" s="60"/>
    </row>
    <row r="487" spans="1:20" ht="13.5" customHeight="1" x14ac:dyDescent="0.2">
      <c r="B487" s="259" t="s">
        <v>23</v>
      </c>
      <c r="C487" s="69"/>
      <c r="D487" s="125"/>
      <c r="E487" s="69"/>
      <c r="F487" s="69"/>
      <c r="G487" s="69" t="s">
        <v>110</v>
      </c>
      <c r="H487" s="69" t="s">
        <v>46</v>
      </c>
      <c r="I487" s="69" t="s">
        <v>47</v>
      </c>
      <c r="J487" s="257">
        <v>341</v>
      </c>
      <c r="K487" s="257" t="s">
        <v>27</v>
      </c>
      <c r="L487" s="257" t="s">
        <v>76</v>
      </c>
      <c r="M487" s="257" t="s">
        <v>81</v>
      </c>
      <c r="N487" s="68"/>
      <c r="O487" s="73"/>
      <c r="P487" s="127"/>
      <c r="Q487" s="73"/>
      <c r="R487" s="74"/>
      <c r="S487" s="194">
        <f>S479-SUM(S480:S484)-S489-S488</f>
        <v>13214647.48139561</v>
      </c>
      <c r="T487" s="68"/>
    </row>
    <row r="488" spans="1:20" s="173" customFormat="1" ht="13.5" customHeight="1" x14ac:dyDescent="0.2">
      <c r="A488" s="171"/>
      <c r="B488" s="128" t="s">
        <v>23</v>
      </c>
      <c r="C488" s="129"/>
      <c r="D488" s="130"/>
      <c r="E488" s="129"/>
      <c r="F488" s="129"/>
      <c r="G488" s="129" t="s">
        <v>114</v>
      </c>
      <c r="H488" s="129" t="s">
        <v>46</v>
      </c>
      <c r="I488" s="129" t="s">
        <v>47</v>
      </c>
      <c r="J488" s="200">
        <v>341</v>
      </c>
      <c r="K488" s="200" t="s">
        <v>27</v>
      </c>
      <c r="L488" s="200" t="s">
        <v>76</v>
      </c>
      <c r="M488" s="200" t="s">
        <v>81</v>
      </c>
      <c r="N488" s="134"/>
      <c r="O488" s="135"/>
      <c r="P488" s="136"/>
      <c r="Q488" s="135"/>
      <c r="R488" s="137"/>
      <c r="S488" s="201">
        <v>401959.21</v>
      </c>
      <c r="T488" s="134"/>
    </row>
    <row r="489" spans="1:20" s="189" customFormat="1" ht="13.5" customHeight="1" x14ac:dyDescent="0.2">
      <c r="A489" s="171"/>
      <c r="B489" s="262" t="s">
        <v>23</v>
      </c>
      <c r="C489" s="69"/>
      <c r="D489" s="125"/>
      <c r="E489" s="69"/>
      <c r="F489" s="69"/>
      <c r="G489" s="69" t="s">
        <v>75</v>
      </c>
      <c r="H489" s="69" t="s">
        <v>46</v>
      </c>
      <c r="I489" s="69" t="s">
        <v>47</v>
      </c>
      <c r="J489" s="261">
        <v>341</v>
      </c>
      <c r="K489" s="261" t="s">
        <v>27</v>
      </c>
      <c r="L489" s="261" t="s">
        <v>76</v>
      </c>
      <c r="M489" s="261" t="s">
        <v>81</v>
      </c>
      <c r="N489" s="68"/>
      <c r="O489" s="73"/>
      <c r="P489" s="127"/>
      <c r="Q489" s="73"/>
      <c r="R489" s="74"/>
      <c r="S489" s="194">
        <v>1042892.68</v>
      </c>
      <c r="T489" s="68"/>
    </row>
    <row r="490" spans="1:20" ht="13.5" customHeight="1" x14ac:dyDescent="0.2">
      <c r="A490" s="171"/>
      <c r="B490" s="254"/>
      <c r="C490" s="254"/>
      <c r="D490" s="254"/>
      <c r="E490" s="254"/>
      <c r="F490" s="254"/>
      <c r="G490" s="254"/>
      <c r="H490" s="254"/>
      <c r="I490" s="254"/>
      <c r="J490" s="254"/>
      <c r="K490" s="254"/>
      <c r="L490" s="254"/>
      <c r="M490" s="254"/>
      <c r="N490" s="254"/>
      <c r="O490" s="255"/>
      <c r="P490" s="255"/>
      <c r="Q490" s="255"/>
      <c r="R490" s="255"/>
      <c r="S490" s="255"/>
      <c r="T490" s="254"/>
    </row>
    <row r="491" spans="1:20" ht="13.5" customHeight="1" x14ac:dyDescent="0.25">
      <c r="B491" s="47" t="s">
        <v>20</v>
      </c>
      <c r="C491" s="48">
        <v>329</v>
      </c>
      <c r="D491" s="49">
        <v>44301</v>
      </c>
      <c r="E491" s="260">
        <v>979.57843666999997</v>
      </c>
      <c r="F491" s="51">
        <v>1800</v>
      </c>
      <c r="G491" s="52" t="s">
        <v>20</v>
      </c>
      <c r="H491" s="53"/>
      <c r="I491" s="53"/>
      <c r="J491" s="54"/>
      <c r="K491" s="54"/>
      <c r="L491" s="55"/>
      <c r="M491" s="54"/>
      <c r="N491" s="47"/>
      <c r="O491" s="56"/>
      <c r="P491" s="47"/>
      <c r="Q491" s="56"/>
      <c r="R491" s="57"/>
      <c r="S491" s="192">
        <f>TRUNC(E491*F491,2)</f>
        <v>1763241.18</v>
      </c>
      <c r="T491" s="68"/>
    </row>
    <row r="492" spans="1:20" ht="13.5" customHeight="1" x14ac:dyDescent="0.25">
      <c r="B492" s="47" t="s">
        <v>20</v>
      </c>
      <c r="C492" s="48">
        <v>332</v>
      </c>
      <c r="D492" s="49">
        <v>44301</v>
      </c>
      <c r="E492" s="260">
        <v>1000</v>
      </c>
      <c r="F492" s="51">
        <v>13200</v>
      </c>
      <c r="G492" s="52" t="s">
        <v>20</v>
      </c>
      <c r="H492" s="53"/>
      <c r="I492" s="53"/>
      <c r="J492" s="54"/>
      <c r="K492" s="54"/>
      <c r="L492" s="55"/>
      <c r="M492" s="54"/>
      <c r="N492" s="47"/>
      <c r="O492" s="56"/>
      <c r="P492" s="47"/>
      <c r="Q492" s="56"/>
      <c r="R492" s="57"/>
      <c r="S492" s="192">
        <f t="shared" ref="S492" si="35">TRUNC(E492*F492,2)</f>
        <v>13200000</v>
      </c>
      <c r="T492" s="68"/>
    </row>
    <row r="493" spans="1:20" ht="13.5" customHeight="1" x14ac:dyDescent="0.25">
      <c r="B493" s="47" t="s">
        <v>20</v>
      </c>
      <c r="C493" s="48" t="s">
        <v>21</v>
      </c>
      <c r="D493" s="49"/>
      <c r="E493" s="50"/>
      <c r="F493" s="51"/>
      <c r="G493" s="52" t="s">
        <v>22</v>
      </c>
      <c r="H493" s="53"/>
      <c r="I493" s="53"/>
      <c r="J493" s="54"/>
      <c r="K493" s="54"/>
      <c r="L493" s="55"/>
      <c r="M493" s="54"/>
      <c r="N493" s="47"/>
      <c r="O493" s="56"/>
      <c r="P493" s="47"/>
      <c r="Q493" s="56"/>
      <c r="R493" s="57"/>
      <c r="S493" s="192">
        <f>SUM(S491:S492)</f>
        <v>14963241.18</v>
      </c>
      <c r="T493" s="68"/>
    </row>
    <row r="494" spans="1:20" ht="13.5" customHeight="1" x14ac:dyDescent="0.25">
      <c r="B494" s="150" t="s">
        <v>23</v>
      </c>
      <c r="C494" s="17"/>
      <c r="D494" s="61"/>
      <c r="E494" s="17"/>
      <c r="F494" s="256"/>
      <c r="G494" s="17" t="s">
        <v>24</v>
      </c>
      <c r="H494" s="17" t="s">
        <v>25</v>
      </c>
      <c r="I494" s="17" t="s">
        <v>26</v>
      </c>
      <c r="J494" s="62">
        <v>341</v>
      </c>
      <c r="K494" s="62" t="s">
        <v>27</v>
      </c>
      <c r="L494" s="63" t="s">
        <v>28</v>
      </c>
      <c r="M494" s="62" t="s">
        <v>29</v>
      </c>
      <c r="N494" s="60">
        <f>S493*0.5%</f>
        <v>74816.205900000001</v>
      </c>
      <c r="O494" s="65">
        <v>0.1115</v>
      </c>
      <c r="P494" s="60">
        <f>N494/(1-O494)</f>
        <v>84205.071356218352</v>
      </c>
      <c r="Q494" s="65">
        <v>6.1499999999999999E-2</v>
      </c>
      <c r="R494" s="66">
        <f>Q494*P494</f>
        <v>5178.6118884074285</v>
      </c>
      <c r="S494" s="193">
        <f>P494*(1-Q494)</f>
        <v>79026.459467810928</v>
      </c>
      <c r="T494" s="67" t="s">
        <v>77</v>
      </c>
    </row>
    <row r="495" spans="1:20" ht="13.5" customHeight="1" x14ac:dyDescent="0.25">
      <c r="B495" s="68" t="s">
        <v>23</v>
      </c>
      <c r="C495" s="69"/>
      <c r="D495" s="49"/>
      <c r="E495" s="69"/>
      <c r="F495" s="69"/>
      <c r="G495" s="69" t="s">
        <v>30</v>
      </c>
      <c r="H495" s="69" t="s">
        <v>25</v>
      </c>
      <c r="I495" s="69" t="s">
        <v>26</v>
      </c>
      <c r="J495" s="264">
        <v>341</v>
      </c>
      <c r="K495" s="264" t="s">
        <v>27</v>
      </c>
      <c r="L495" s="71" t="s">
        <v>28</v>
      </c>
      <c r="M495" s="264" t="s">
        <v>29</v>
      </c>
      <c r="N495" s="68">
        <f>S493*2%</f>
        <v>299264.8236</v>
      </c>
      <c r="O495" s="73">
        <v>0.1115</v>
      </c>
      <c r="P495" s="68">
        <f>(N495/(1-O495))-P497</f>
        <v>299412.18247487338</v>
      </c>
      <c r="Q495" s="73">
        <v>6.1499999999999999E-2</v>
      </c>
      <c r="R495" s="74">
        <f>Q495*P495</f>
        <v>18413.849222204713</v>
      </c>
      <c r="S495" s="194">
        <f>P495*(1-Q495)</f>
        <v>280998.33325266867</v>
      </c>
      <c r="T495" s="152" t="s">
        <v>72</v>
      </c>
    </row>
    <row r="496" spans="1:20" ht="13.5" customHeight="1" x14ac:dyDescent="0.25">
      <c r="B496" s="150" t="s">
        <v>23</v>
      </c>
      <c r="C496" s="17"/>
      <c r="D496" s="61"/>
      <c r="E496" s="17"/>
      <c r="F496" s="17"/>
      <c r="G496" s="17" t="s">
        <v>83</v>
      </c>
      <c r="H496" s="17" t="s">
        <v>25</v>
      </c>
      <c r="I496" s="17" t="s">
        <v>26</v>
      </c>
      <c r="J496" s="62">
        <v>341</v>
      </c>
      <c r="K496" s="62" t="s">
        <v>27</v>
      </c>
      <c r="L496" s="63" t="s">
        <v>28</v>
      </c>
      <c r="M496" s="62" t="s">
        <v>29</v>
      </c>
      <c r="N496" s="60">
        <f>S493*0.9%</f>
        <v>134669.17062000002</v>
      </c>
      <c r="O496" s="65">
        <v>0.1115</v>
      </c>
      <c r="P496" s="60">
        <f>N496/(1-O496)</f>
        <v>151569.12844119305</v>
      </c>
      <c r="Q496" s="65">
        <v>6.1499999999999999E-2</v>
      </c>
      <c r="R496" s="66">
        <f>Q496*P496</f>
        <v>9321.5013991333726</v>
      </c>
      <c r="S496" s="193">
        <f>P496*(1-Q496)</f>
        <v>142247.62704205967</v>
      </c>
      <c r="T496" s="67" t="s">
        <v>78</v>
      </c>
    </row>
    <row r="497" spans="1:20" ht="13.5" customHeight="1" x14ac:dyDescent="0.25">
      <c r="B497" s="68" t="s">
        <v>113</v>
      </c>
      <c r="C497" s="69"/>
      <c r="D497" s="49"/>
      <c r="E497" s="69"/>
      <c r="F497" s="69"/>
      <c r="G497" s="69" t="s">
        <v>102</v>
      </c>
      <c r="H497" s="69" t="s">
        <v>103</v>
      </c>
      <c r="I497" s="69" t="s">
        <v>104</v>
      </c>
      <c r="J497" s="264">
        <v>77</v>
      </c>
      <c r="K497" s="264" t="s">
        <v>105</v>
      </c>
      <c r="L497" s="71" t="s">
        <v>106</v>
      </c>
      <c r="M497" s="264">
        <v>40760111</v>
      </c>
      <c r="N497" s="68"/>
      <c r="O497" s="73"/>
      <c r="P497" s="68">
        <f>S493*0.25%</f>
        <v>37408.10295</v>
      </c>
      <c r="Q497" s="73">
        <v>6.1499999999999999E-2</v>
      </c>
      <c r="R497" s="74">
        <f>Q497*P497</f>
        <v>2300.5983314250002</v>
      </c>
      <c r="S497" s="194">
        <f>P497*(1-Q497)</f>
        <v>35107.504618575003</v>
      </c>
      <c r="T497" s="152" t="s">
        <v>107</v>
      </c>
    </row>
    <row r="498" spans="1:20" ht="13.5" customHeight="1" x14ac:dyDescent="0.2">
      <c r="G498" s="121" t="s">
        <v>51</v>
      </c>
      <c r="H498" s="121"/>
      <c r="I498" s="121"/>
      <c r="J498" s="266"/>
      <c r="K498" s="266"/>
      <c r="L498" s="266"/>
      <c r="M498" s="266"/>
      <c r="N498" s="122"/>
      <c r="O498" s="123"/>
      <c r="P498" s="122"/>
      <c r="Q498" s="123"/>
      <c r="R498" s="124"/>
      <c r="S498" s="195">
        <f>SUM(S499:S500)</f>
        <v>35214.560841170511</v>
      </c>
    </row>
    <row r="499" spans="1:20" ht="13.5" customHeight="1" x14ac:dyDescent="0.2">
      <c r="B499" s="264" t="s">
        <v>52</v>
      </c>
      <c r="C499" s="69"/>
      <c r="D499" s="125"/>
      <c r="E499" s="69"/>
      <c r="F499" s="69"/>
      <c r="G499" s="126" t="s">
        <v>53</v>
      </c>
      <c r="H499" s="69" t="s">
        <v>25</v>
      </c>
      <c r="I499" s="69" t="s">
        <v>26</v>
      </c>
      <c r="J499" s="267"/>
      <c r="K499" s="267"/>
      <c r="L499" s="267"/>
      <c r="M499" s="267"/>
      <c r="N499" s="68"/>
      <c r="O499" s="73"/>
      <c r="P499" s="127"/>
      <c r="Q499" s="73"/>
      <c r="R499" s="74"/>
      <c r="S499" s="194">
        <f>SUM(R494:R496)</f>
        <v>32913.962509745514</v>
      </c>
      <c r="T499" s="68"/>
    </row>
    <row r="500" spans="1:20" ht="13.5" customHeight="1" x14ac:dyDescent="0.2">
      <c r="B500" s="62" t="s">
        <v>52</v>
      </c>
      <c r="C500" s="17"/>
      <c r="D500" s="138"/>
      <c r="E500" s="17"/>
      <c r="F500" s="17"/>
      <c r="G500" s="139" t="s">
        <v>108</v>
      </c>
      <c r="H500" s="17" t="s">
        <v>103</v>
      </c>
      <c r="I500" s="17" t="s">
        <v>104</v>
      </c>
      <c r="J500" s="265"/>
      <c r="K500" s="265"/>
      <c r="L500" s="265"/>
      <c r="M500" s="265"/>
      <c r="N500" s="60"/>
      <c r="O500" s="65"/>
      <c r="P500" s="140"/>
      <c r="Q500" s="65"/>
      <c r="R500" s="137"/>
      <c r="S500" s="193">
        <f>SUM(R497)</f>
        <v>2300.5983314250002</v>
      </c>
      <c r="T500" s="60"/>
    </row>
    <row r="501" spans="1:20" ht="13.5" customHeight="1" x14ac:dyDescent="0.2">
      <c r="B501" s="264" t="s">
        <v>23</v>
      </c>
      <c r="C501" s="69"/>
      <c r="D501" s="125"/>
      <c r="E501" s="69"/>
      <c r="F501" s="69"/>
      <c r="G501" s="69" t="s">
        <v>110</v>
      </c>
      <c r="H501" s="69" t="s">
        <v>46</v>
      </c>
      <c r="I501" s="69" t="s">
        <v>47</v>
      </c>
      <c r="J501" s="263">
        <v>341</v>
      </c>
      <c r="K501" s="263" t="s">
        <v>27</v>
      </c>
      <c r="L501" s="263" t="s">
        <v>76</v>
      </c>
      <c r="M501" s="263" t="s">
        <v>81</v>
      </c>
      <c r="N501" s="68"/>
      <c r="O501" s="73"/>
      <c r="P501" s="127"/>
      <c r="Q501" s="73"/>
      <c r="R501" s="74"/>
      <c r="S501" s="194">
        <f>S493-SUM(S494:S498)-S503-S502</f>
        <v>12945527.334777715</v>
      </c>
      <c r="T501" s="68"/>
    </row>
    <row r="502" spans="1:20" s="173" customFormat="1" ht="13.5" customHeight="1" x14ac:dyDescent="0.2">
      <c r="A502" s="171"/>
      <c r="B502" s="128" t="s">
        <v>23</v>
      </c>
      <c r="C502" s="129"/>
      <c r="D502" s="130"/>
      <c r="E502" s="129"/>
      <c r="F502" s="129"/>
      <c r="G502" s="129" t="s">
        <v>114</v>
      </c>
      <c r="H502" s="129" t="s">
        <v>46</v>
      </c>
      <c r="I502" s="129" t="s">
        <v>47</v>
      </c>
      <c r="J502" s="200">
        <v>341</v>
      </c>
      <c r="K502" s="200" t="s">
        <v>27</v>
      </c>
      <c r="L502" s="200" t="s">
        <v>76</v>
      </c>
      <c r="M502" s="200" t="s">
        <v>81</v>
      </c>
      <c r="N502" s="134"/>
      <c r="O502" s="135"/>
      <c r="P502" s="136"/>
      <c r="Q502" s="135"/>
      <c r="R502" s="137"/>
      <c r="S502" s="201">
        <v>529661.43000000005</v>
      </c>
      <c r="T502" s="134"/>
    </row>
    <row r="503" spans="1:20" s="189" customFormat="1" ht="13.5" customHeight="1" x14ac:dyDescent="0.2">
      <c r="A503" s="171"/>
      <c r="B503" s="264" t="s">
        <v>23</v>
      </c>
      <c r="C503" s="69"/>
      <c r="D503" s="125"/>
      <c r="E503" s="69"/>
      <c r="F503" s="69"/>
      <c r="G503" s="69" t="s">
        <v>75</v>
      </c>
      <c r="H503" s="69" t="s">
        <v>46</v>
      </c>
      <c r="I503" s="69" t="s">
        <v>47</v>
      </c>
      <c r="J503" s="263">
        <v>341</v>
      </c>
      <c r="K503" s="263" t="s">
        <v>27</v>
      </c>
      <c r="L503" s="263" t="s">
        <v>76</v>
      </c>
      <c r="M503" s="263" t="s">
        <v>81</v>
      </c>
      <c r="N503" s="68"/>
      <c r="O503" s="73"/>
      <c r="P503" s="127"/>
      <c r="Q503" s="73"/>
      <c r="R503" s="74"/>
      <c r="S503" s="194">
        <v>915457.93</v>
      </c>
      <c r="T503" s="68"/>
    </row>
    <row r="504" spans="1:20" ht="13.5" customHeight="1" x14ac:dyDescent="0.2">
      <c r="A504" s="171"/>
      <c r="B504" s="254"/>
      <c r="C504" s="254"/>
      <c r="D504" s="254"/>
      <c r="E504" s="254"/>
      <c r="F504" s="254"/>
      <c r="G504" s="254"/>
      <c r="H504" s="254"/>
      <c r="I504" s="254"/>
      <c r="J504" s="254"/>
      <c r="K504" s="254"/>
      <c r="L504" s="254"/>
      <c r="M504" s="254"/>
      <c r="N504" s="254"/>
      <c r="O504" s="255"/>
      <c r="P504" s="255"/>
      <c r="Q504" s="255"/>
      <c r="R504" s="255"/>
      <c r="S504" s="255"/>
      <c r="T504" s="254"/>
    </row>
    <row r="506" spans="1:20" ht="12" customHeight="1" x14ac:dyDescent="0.2">
      <c r="S506" s="3">
        <f>S488+S502</f>
        <v>931620.64000000013</v>
      </c>
    </row>
  </sheetData>
  <mergeCells count="83">
    <mergeCell ref="J402:M402"/>
    <mergeCell ref="J403:M403"/>
    <mergeCell ref="J426:M426"/>
    <mergeCell ref="J427:M427"/>
    <mergeCell ref="J32:M32"/>
    <mergeCell ref="J33:M33"/>
    <mergeCell ref="J45:M45"/>
    <mergeCell ref="J196:M196"/>
    <mergeCell ref="J142:M142"/>
    <mergeCell ref="J180:M180"/>
    <mergeCell ref="J168:M168"/>
    <mergeCell ref="J101:M101"/>
    <mergeCell ref="J102:M102"/>
    <mergeCell ref="J154:M154"/>
    <mergeCell ref="J155:M155"/>
    <mergeCell ref="J141:M141"/>
    <mergeCell ref="J181:M181"/>
    <mergeCell ref="J183:M183"/>
    <mergeCell ref="J46:M46"/>
    <mergeCell ref="J25:M25"/>
    <mergeCell ref="J26:M26"/>
    <mergeCell ref="J27:M27"/>
    <mergeCell ref="J28:M28"/>
    <mergeCell ref="J31:M31"/>
    <mergeCell ref="J74:M74"/>
    <mergeCell ref="D2:G3"/>
    <mergeCell ref="B7:S7"/>
    <mergeCell ref="J22:M22"/>
    <mergeCell ref="J23:M23"/>
    <mergeCell ref="J24:M24"/>
    <mergeCell ref="J221:M221"/>
    <mergeCell ref="J75:M75"/>
    <mergeCell ref="J60:M60"/>
    <mergeCell ref="J61:M61"/>
    <mergeCell ref="J128:M128"/>
    <mergeCell ref="J87:M87"/>
    <mergeCell ref="J194:M194"/>
    <mergeCell ref="J88:M88"/>
    <mergeCell ref="J114:M114"/>
    <mergeCell ref="J115:M115"/>
    <mergeCell ref="J127:M127"/>
    <mergeCell ref="J193:M193"/>
    <mergeCell ref="J207:M207"/>
    <mergeCell ref="J208:M208"/>
    <mergeCell ref="J210:M210"/>
    <mergeCell ref="J167:M167"/>
    <mergeCell ref="J237:M237"/>
    <mergeCell ref="J236:M236"/>
    <mergeCell ref="J239:M239"/>
    <mergeCell ref="J251:M251"/>
    <mergeCell ref="J264:M264"/>
    <mergeCell ref="J222:M222"/>
    <mergeCell ref="J250:M250"/>
    <mergeCell ref="J280:M280"/>
    <mergeCell ref="J281:M281"/>
    <mergeCell ref="J366:M366"/>
    <mergeCell ref="J335:M335"/>
    <mergeCell ref="J336:M336"/>
    <mergeCell ref="J317:M317"/>
    <mergeCell ref="J318:M318"/>
    <mergeCell ref="J351:M351"/>
    <mergeCell ref="J352:M352"/>
    <mergeCell ref="J365:M365"/>
    <mergeCell ref="J300:M300"/>
    <mergeCell ref="J299:M299"/>
    <mergeCell ref="J265:M265"/>
    <mergeCell ref="J224:M224"/>
    <mergeCell ref="J498:M498"/>
    <mergeCell ref="J499:M499"/>
    <mergeCell ref="J377:M377"/>
    <mergeCell ref="J378:M378"/>
    <mergeCell ref="J390:M390"/>
    <mergeCell ref="J468:M468"/>
    <mergeCell ref="J469:M469"/>
    <mergeCell ref="J453:M453"/>
    <mergeCell ref="J454:M454"/>
    <mergeCell ref="J438:M438"/>
    <mergeCell ref="J439:M439"/>
    <mergeCell ref="J391:M391"/>
    <mergeCell ref="J484:M484"/>
    <mergeCell ref="J485:M485"/>
    <mergeCell ref="J414:M414"/>
    <mergeCell ref="J415:M415"/>
  </mergeCells>
  <dataValidations disablePrompts="1" count="1">
    <dataValidation type="list" allowBlank="1" showInputMessage="1" showErrorMessage="1" sqref="B15:B26 B46:B48 B41 B13 B11 B28:B35 B43:B44 B61:B63 B56 B58:B59 B75:B77 B70 B72:B73 B102:B104 B97 B99:B100 B88:B90 B83 B85:B86 B115:B117 B110 B112:B113 B128:B130 B123 B125:B126 B142:B144 B137 B139:B140 B155:B157 B150 B152:B153 B168:B170 B163 B165:B166 B181:B183 B176 B178:B179 B194:B196 B189 B191:B192 B208:B210 B203 B205:B206 B222:B224 B217 B219:B220 B237:B239 B232 B234:B235 B251:B253 B246 B248 B265:B267 B260 B262 B281:B283 B276 B278 B300:B302 B295 B297 B318:B320 B313 B315 B336:B338 B331 B333 B352:B354 B347 B349 B366:B368 B361 B363 B378:B380 B373 B375 B391:B393 B386 B388 B403:B405 B398 B400 B415:B417 B410 B412 B427:B429 B422 B424 B439:B441 B434 B436 B454:B456 B449 B451 B469:B471 B464 B466 B485:B488 B480 B482 B499:B502 B494 B496" xr:uid="{4F999F0F-60A8-427D-B46B-44EC580A5587}">
      <formula1>$X$33:$X$37</formula1>
    </dataValidation>
  </dataValidations>
  <printOptions horizontalCentered="1" verticalCentered="1"/>
  <pageMargins left="0.11811023622047245" right="0.11811023622047245" top="0.39370078740157483" bottom="0.39370078740157483" header="0" footer="0"/>
  <pageSetup paperSize="9" scale="3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01E3830-7B38-4735-868D-A5B599E99206}">
          <x14:formula1>
            <xm:f>'Z:\1_Negocios\3_Gestao\2_CRI\CRI_S218_219_A&amp;C Lima\2_Estruturacao\7_Liquidacao\3_Mapa de Liquidação\[20190606_CRI_S218_219_A&amp;CLima_Mapa_Liquidação.xlsx]Referencias'!#REF!</xm:f>
          </x14:formula1>
          <xm:sqref>B27 B9:B10 B12 B36:B40 X33:X37 B42 B49:B55 B57 B71 B64:B69 B98 B78:B82 B84 B91:B96 B111 B118:B122 B105:B109 B124 B131:B136 B138 B151 B158:B162 B145:B149 B164 B171:B175 B177 B184:B188 B190 B211:B216 B204 B197:B202 B233 B218 B225:B231 B240:B241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0be1033-61d5-46ad-ae3a-53f0d5f2e6d6">XYRVYRS7NR3H-414051584-592955</_dlc_DocId>
    <_dlc_DocIdUrl xmlns="90be1033-61d5-46ad-ae3a-53f0d5f2e6d6">
      <Url>https://contatofortesec.sharepoint.com/sites/Gestao/_layouts/15/DocIdRedir.aspx?ID=XYRVYRS7NR3H-414051584-592955</Url>
      <Description>XYRVYRS7NR3H-414051584-592955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2565C418707D4AA9D5B20100C39FAD" ma:contentTypeVersion="13" ma:contentTypeDescription="Crie um novo documento." ma:contentTypeScope="" ma:versionID="57b720f961935729ee5bfb3f7b3b745e">
  <xsd:schema xmlns:xsd="http://www.w3.org/2001/XMLSchema" xmlns:xs="http://www.w3.org/2001/XMLSchema" xmlns:p="http://schemas.microsoft.com/office/2006/metadata/properties" xmlns:ns2="90be1033-61d5-46ad-ae3a-53f0d5f2e6d6" xmlns:ns3="bb6cd9ea-a165-46c7-8046-7d231703d635" targetNamespace="http://schemas.microsoft.com/office/2006/metadata/properties" ma:root="true" ma:fieldsID="3e4c59b9b2339eeb247f9c7769569ba7" ns2:_="" ns3:_="">
    <xsd:import namespace="90be1033-61d5-46ad-ae3a-53f0d5f2e6d6"/>
    <xsd:import namespace="bb6cd9ea-a165-46c7-8046-7d231703d6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e1033-61d5-46ad-ae3a-53f0d5f2e6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d9ea-a165-46c7-8046-7d231703d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D9FED7-45C1-45E8-B12C-AC99E69A11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dee0a48-fc0c-418b-95fb-08cb8e59e960"/>
    <ds:schemaRef ds:uri="90be1033-61d5-46ad-ae3a-53f0d5f2e6d6"/>
  </ds:schemaRefs>
</ds:datastoreItem>
</file>

<file path=customXml/itemProps2.xml><?xml version="1.0" encoding="utf-8"?>
<ds:datastoreItem xmlns:ds="http://schemas.openxmlformats.org/officeDocument/2006/customXml" ds:itemID="{59E965D2-428F-44A7-8AD7-BE6E4467CFA8}"/>
</file>

<file path=customXml/itemProps3.xml><?xml version="1.0" encoding="utf-8"?>
<ds:datastoreItem xmlns:ds="http://schemas.openxmlformats.org/officeDocument/2006/customXml" ds:itemID="{F048F548-42EC-4C2E-AC10-EC46DA275B2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8927744-7956-4AF8-897B-935D0A6311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Relatório Liquidação</vt:lpstr>
      <vt:lpstr>'Relatório Liquidação'!Print_Area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Dantas</dc:creator>
  <cp:lastModifiedBy>Nina Hansen</cp:lastModifiedBy>
  <cp:lastPrinted>2019-11-28T17:11:29Z</cp:lastPrinted>
  <dcterms:created xsi:type="dcterms:W3CDTF">2019-07-29T20:06:21Z</dcterms:created>
  <dcterms:modified xsi:type="dcterms:W3CDTF">2021-05-07T15:52:02Z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0x010100252565C418707D4AA9D5B20100C39FAD</vt:lpwstr>
  </property>
  <property fmtid="{D5CDD505-2E9C-101B-9397-08002B2CF9AE}" pid="3" name="Order">
    <vt:r8>10118000</vt:r8>
  </property>
  <property fmtid="{D5CDD505-2E9C-101B-9397-08002B2CF9AE}" pid="4" name="_dlc_DocIdItemGuid">
    <vt:lpwstr>b117a81b-f627-4ec7-ae22-90a2effc7afd</vt:lpwstr>
  </property>
</Properties>
</file>