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contatofortesec.sharepoint.com/sites/centraldedocumentos/Documentos Compartilhados/Negócios/Gestão/CRI/CRI_S335_344_Solar das Águas/2_Estruturacao/7_Liquidacao/3_Mapa_de_Liquidacao/"/>
    </mc:Choice>
  </mc:AlternateContent>
  <xr:revisionPtr revIDLastSave="355" documentId="13_ncr:1_{1F0E7870-7916-4930-853C-E6258899FEFC}" xr6:coauthVersionLast="46" xr6:coauthVersionMax="46" xr10:uidLastSave="{9732AE13-A4D1-4CF8-98ED-2CF14FB21D61}"/>
  <bookViews>
    <workbookView xWindow="-120" yWindow="-120" windowWidth="20730" windowHeight="11160" xr2:uid="{3A078E6E-694E-4EE8-AB0E-F17D354DC920}"/>
  </bookViews>
  <sheets>
    <sheet name="Relatório Liquidação" sheetId="2" r:id="rId1"/>
  </sheets>
  <externalReferences>
    <externalReference r:id="rId2"/>
  </externalReferences>
  <definedNames>
    <definedName name="_xlnm._FilterDatabase" localSheetId="0" hidden="1">'Relatório Liquidação'!$B$8:$T$220</definedName>
    <definedName name="Feriados" localSheetId="0">#REF!</definedName>
    <definedName name="Feriados">#REF!</definedName>
    <definedName name="_xlnm.Print_Area" localSheetId="0">'Relatório Liquidação'!$B$2:$T$230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12" i="2" l="1"/>
  <c r="S211" i="2"/>
  <c r="S201" i="2"/>
  <c r="S200" i="2"/>
  <c r="S189" i="2"/>
  <c r="S190" i="2" s="1"/>
  <c r="S178" i="2"/>
  <c r="S177" i="2"/>
  <c r="S166" i="2"/>
  <c r="S167" i="2"/>
  <c r="S202" i="2" l="1"/>
  <c r="S213" i="2"/>
  <c r="N215" i="2" s="1"/>
  <c r="P215" i="2" s="1" a="1"/>
  <c r="P215" i="2" s="1"/>
  <c r="N214" i="2"/>
  <c r="P214" i="2" s="1" a="1"/>
  <c r="P214" i="2" s="1"/>
  <c r="N203" i="2"/>
  <c r="P203" i="2" s="1" a="1"/>
  <c r="P203" i="2" s="1"/>
  <c r="N204" i="2"/>
  <c r="P204" i="2" s="1" a="1"/>
  <c r="P204" i="2" s="1"/>
  <c r="N191" i="2"/>
  <c r="P191" i="2" s="1" a="1"/>
  <c r="P191" i="2" s="1"/>
  <c r="N192" i="2"/>
  <c r="P192" i="2" s="1" a="1"/>
  <c r="P192" i="2" s="1"/>
  <c r="S179" i="2"/>
  <c r="N180" i="2" s="1"/>
  <c r="P180" i="2" s="1" a="1"/>
  <c r="P180" i="2" s="1"/>
  <c r="S168" i="2"/>
  <c r="N170" i="2" s="1"/>
  <c r="P170" i="2" s="1" a="1"/>
  <c r="P170" i="2" s="1"/>
  <c r="S156" i="2"/>
  <c r="S157" i="2" s="1"/>
  <c r="N181" i="2" l="1"/>
  <c r="P181" i="2" s="1" a="1"/>
  <c r="P181" i="2" s="1"/>
  <c r="S214" i="2"/>
  <c r="R214" i="2"/>
  <c r="S215" i="2"/>
  <c r="R215" i="2" a="1"/>
  <c r="R215" i="2" s="1"/>
  <c r="S204" i="2"/>
  <c r="R204" i="2" a="1"/>
  <c r="R204" i="2" s="1"/>
  <c r="S203" i="2"/>
  <c r="R203" i="2"/>
  <c r="S192" i="2"/>
  <c r="R192" i="2" a="1"/>
  <c r="R192" i="2" s="1"/>
  <c r="S191" i="2"/>
  <c r="R191" i="2"/>
  <c r="S180" i="2"/>
  <c r="R180" i="2"/>
  <c r="S181" i="2"/>
  <c r="R181" i="2" a="1"/>
  <c r="R181" i="2" s="1"/>
  <c r="N169" i="2"/>
  <c r="P169" i="2" s="1" a="1"/>
  <c r="P169" i="2" s="1"/>
  <c r="R169" i="2" s="1"/>
  <c r="S169" i="2"/>
  <c r="S170" i="2"/>
  <c r="R170" i="2" a="1"/>
  <c r="R170" i="2" s="1"/>
  <c r="N159" i="2"/>
  <c r="P159" i="2" s="1" a="1"/>
  <c r="P159" i="2" s="1"/>
  <c r="N158" i="2"/>
  <c r="P158" i="2" s="1" a="1"/>
  <c r="P158" i="2" s="1"/>
  <c r="S145" i="2"/>
  <c r="S146" i="2" s="1"/>
  <c r="U11" i="2"/>
  <c r="S134" i="2"/>
  <c r="S133" i="2"/>
  <c r="S122" i="2"/>
  <c r="S123" i="2" s="1"/>
  <c r="S111" i="2"/>
  <c r="S112" i="2" s="1"/>
  <c r="N114" i="2" s="1"/>
  <c r="P114" i="2" s="1" a="1"/>
  <c r="P114" i="2" s="1"/>
  <c r="S114" i="2" s="1"/>
  <c r="S100" i="2"/>
  <c r="S99" i="2"/>
  <c r="S89" i="2"/>
  <c r="S90" i="2" s="1"/>
  <c r="S84" i="2"/>
  <c r="S85" i="2"/>
  <c r="S78" i="2"/>
  <c r="S77" i="2"/>
  <c r="S66" i="2"/>
  <c r="S67" i="2" s="1"/>
  <c r="S56" i="2"/>
  <c r="S57" i="2" s="1"/>
  <c r="N59" i="2" s="1"/>
  <c r="P59" i="2" s="1" a="1"/>
  <c r="P59" i="2" s="1"/>
  <c r="S59" i="2" s="1"/>
  <c r="S46" i="2"/>
  <c r="N48" i="2" s="1"/>
  <c r="P48" i="2" s="1" a="1"/>
  <c r="S41" i="2"/>
  <c r="S42" i="2"/>
  <c r="S35" i="2"/>
  <c r="N16" i="2"/>
  <c r="P16" i="2" s="1"/>
  <c r="N17" i="2"/>
  <c r="P13" i="2"/>
  <c r="S13" i="2" s="1"/>
  <c r="P14" i="2"/>
  <c r="P15" i="2"/>
  <c r="S15" i="2" s="1"/>
  <c r="P17" i="2"/>
  <c r="S17" i="2" s="1"/>
  <c r="P18" i="2" a="1"/>
  <c r="P18" i="2" s="1"/>
  <c r="R18" i="2" s="1"/>
  <c r="P19" i="2" a="1"/>
  <c r="P19" i="2" s="1"/>
  <c r="P20" i="2" a="1"/>
  <c r="P20" i="2" s="1"/>
  <c r="R20" i="2" s="1"/>
  <c r="R21" i="2"/>
  <c r="R22" i="2"/>
  <c r="R23" i="2"/>
  <c r="R24" i="2"/>
  <c r="S9" i="2"/>
  <c r="N11" i="2" s="1"/>
  <c r="P11" i="2" s="1" a="1"/>
  <c r="S194" i="2" l="1"/>
  <c r="S193" i="2" s="1"/>
  <c r="S206" i="2"/>
  <c r="S205" i="2" s="1"/>
  <c r="S208" i="2" s="1"/>
  <c r="S209" i="2" s="1"/>
  <c r="S217" i="2"/>
  <c r="S216" i="2" s="1"/>
  <c r="S219" i="2" s="1"/>
  <c r="S220" i="2" s="1"/>
  <c r="S197" i="2"/>
  <c r="S198" i="2" s="1"/>
  <c r="R59" i="2" a="1"/>
  <c r="R59" i="2" s="1"/>
  <c r="P11" i="2"/>
  <c r="R11" i="2" s="1"/>
  <c r="S183" i="2"/>
  <c r="S182" i="2" s="1"/>
  <c r="S186" i="2" s="1"/>
  <c r="S187" i="2" s="1"/>
  <c r="R13" i="2"/>
  <c r="S28" i="2" s="1"/>
  <c r="S47" i="2"/>
  <c r="N49" i="2" s="1"/>
  <c r="P49" i="2" s="1" a="1"/>
  <c r="P49" i="2" s="1"/>
  <c r="S79" i="2"/>
  <c r="N80" i="2" s="1"/>
  <c r="P80" i="2" s="1" a="1"/>
  <c r="P80" i="2" s="1"/>
  <c r="N58" i="2"/>
  <c r="P58" i="2" s="1" a="1"/>
  <c r="P58" i="2" s="1"/>
  <c r="S58" i="2" s="1"/>
  <c r="S101" i="2"/>
  <c r="N102" i="2" s="1"/>
  <c r="P102" i="2" s="1" a="1"/>
  <c r="P102" i="2" s="1"/>
  <c r="S172" i="2"/>
  <c r="S171" i="2" s="1"/>
  <c r="N69" i="2"/>
  <c r="N68" i="2"/>
  <c r="P48" i="2"/>
  <c r="R48" i="2" s="1"/>
  <c r="S18" i="2"/>
  <c r="R15" i="2"/>
  <c r="N124" i="2"/>
  <c r="N125" i="2"/>
  <c r="R17" i="2"/>
  <c r="S135" i="2"/>
  <c r="N137" i="2" s="1"/>
  <c r="P137" i="2" s="1" a="1"/>
  <c r="P137" i="2" s="1"/>
  <c r="S36" i="2"/>
  <c r="N37" i="2"/>
  <c r="P37" i="2" s="1" a="1"/>
  <c r="P37" i="2" s="1"/>
  <c r="R14" i="2"/>
  <c r="S29" i="2" s="1"/>
  <c r="S14" i="2"/>
  <c r="S16" i="2"/>
  <c r="R16" i="2"/>
  <c r="S19" i="2"/>
  <c r="R19" i="2"/>
  <c r="S31" i="2" s="1"/>
  <c r="N92" i="2"/>
  <c r="P92" i="2" s="1" a="1"/>
  <c r="P92" i="2" s="1"/>
  <c r="N91" i="2"/>
  <c r="P91" i="2" s="1" a="1"/>
  <c r="P91" i="2" s="1"/>
  <c r="N147" i="2"/>
  <c r="P147" i="2" s="1" a="1"/>
  <c r="P147" i="2" s="1"/>
  <c r="N113" i="2"/>
  <c r="P113" i="2" s="1" a="1"/>
  <c r="P113" i="2" s="1"/>
  <c r="N148" i="2"/>
  <c r="P148" i="2" s="1" a="1"/>
  <c r="P148" i="2" s="1"/>
  <c r="S10" i="2"/>
  <c r="S20" i="2"/>
  <c r="R114" i="2" a="1"/>
  <c r="R114" i="2" s="1"/>
  <c r="S159" i="2"/>
  <c r="R159" i="2" a="1"/>
  <c r="R159" i="2" s="1"/>
  <c r="R158" i="2"/>
  <c r="S158" i="2"/>
  <c r="R58" i="2" l="1"/>
  <c r="S11" i="2"/>
  <c r="S61" i="2"/>
  <c r="S60" i="2" s="1"/>
  <c r="S63" i="2" s="1"/>
  <c r="P125" i="2" a="1"/>
  <c r="P125" i="2" s="1"/>
  <c r="P68" i="2" a="1"/>
  <c r="P68" i="2" s="1"/>
  <c r="P69" i="2" a="1"/>
  <c r="P69" i="2" s="1"/>
  <c r="S49" i="2"/>
  <c r="R49" i="2" a="1"/>
  <c r="R49" i="2" s="1"/>
  <c r="S51" i="2" s="1"/>
  <c r="S50" i="2" s="1"/>
  <c r="N136" i="2"/>
  <c r="P136" i="2" s="1"/>
  <c r="R136" i="2" s="1"/>
  <c r="N81" i="2"/>
  <c r="P81" i="2" s="1" a="1"/>
  <c r="P81" i="2" s="1"/>
  <c r="S81" i="2" s="1"/>
  <c r="N103" i="2"/>
  <c r="P103" i="2" s="1" a="1"/>
  <c r="P103" i="2" s="1"/>
  <c r="S103" i="2" s="1"/>
  <c r="S174" i="2"/>
  <c r="S175" i="2" s="1"/>
  <c r="S48" i="2"/>
  <c r="S30" i="2"/>
  <c r="P124" i="2" a="1"/>
  <c r="P124" i="2" s="1"/>
  <c r="S137" i="2"/>
  <c r="R137" i="2"/>
  <c r="S113" i="2"/>
  <c r="R113" i="2"/>
  <c r="S116" i="2" s="1"/>
  <c r="S115" i="2" s="1"/>
  <c r="S102" i="2"/>
  <c r="R102" i="2"/>
  <c r="R91" i="2"/>
  <c r="S91" i="2"/>
  <c r="S37" i="2"/>
  <c r="R37" i="2"/>
  <c r="R92" i="2" a="1"/>
  <c r="R92" i="2" s="1"/>
  <c r="S92" i="2"/>
  <c r="N38" i="2"/>
  <c r="P38" i="2" s="1" a="1"/>
  <c r="P38" i="2" s="1"/>
  <c r="N12" i="2"/>
  <c r="P12" i="2" s="1" a="1"/>
  <c r="P12" i="2" s="1"/>
  <c r="U10" i="2"/>
  <c r="R81" i="2" a="1"/>
  <c r="S64" i="2"/>
  <c r="S161" i="2"/>
  <c r="S160" i="2" s="1"/>
  <c r="S163" i="2" s="1"/>
  <c r="S164" i="2" s="1"/>
  <c r="R148" i="2" a="1"/>
  <c r="R148" i="2" s="1"/>
  <c r="S148" i="2"/>
  <c r="S147" i="2"/>
  <c r="R147" i="2"/>
  <c r="S80" i="2"/>
  <c r="R80" i="2"/>
  <c r="S136" i="2" l="1"/>
  <c r="R81" i="2"/>
  <c r="S83" i="2" s="1"/>
  <c r="S82" i="2" s="1"/>
  <c r="S86" i="2" s="1"/>
  <c r="S69" i="2"/>
  <c r="R69" i="2" a="1"/>
  <c r="R69" i="2" s="1"/>
  <c r="R68" i="2"/>
  <c r="S68" i="2"/>
  <c r="R125" i="2" a="1"/>
  <c r="R125" i="2" s="1"/>
  <c r="S125" i="2"/>
  <c r="S53" i="2"/>
  <c r="S54" i="2" s="1"/>
  <c r="R103" i="2" a="1"/>
  <c r="R103" i="2" s="1"/>
  <c r="S105" i="2" s="1"/>
  <c r="S104" i="2" s="1"/>
  <c r="S108" i="2" s="1"/>
  <c r="S109" i="2" s="1"/>
  <c r="S150" i="2"/>
  <c r="S149" i="2" s="1"/>
  <c r="R124" i="2"/>
  <c r="S127" i="2" s="1"/>
  <c r="S126" i="2" s="1"/>
  <c r="S124" i="2"/>
  <c r="S139" i="2"/>
  <c r="S138" i="2" s="1"/>
  <c r="S142" i="2" s="1"/>
  <c r="S143" i="2" s="1"/>
  <c r="S94" i="2"/>
  <c r="S93" i="2" s="1"/>
  <c r="S96" i="2" s="1"/>
  <c r="S97" i="2" s="1"/>
  <c r="S12" i="2"/>
  <c r="R12" i="2" a="1"/>
  <c r="R12" i="2" s="1"/>
  <c r="S27" i="2" s="1"/>
  <c r="S26" i="2" s="1"/>
  <c r="S119" i="2"/>
  <c r="S120" i="2" s="1"/>
  <c r="S153" i="2"/>
  <c r="S154" i="2" s="1"/>
  <c r="S38" i="2"/>
  <c r="R38" i="2" a="1"/>
  <c r="R38" i="2" s="1"/>
  <c r="S40" i="2" s="1"/>
  <c r="S39" i="2" s="1"/>
  <c r="S71" i="2" l="1"/>
  <c r="S70" i="2" s="1"/>
  <c r="S74" i="2" s="1"/>
  <c r="S75" i="2" s="1"/>
  <c r="S87" i="2"/>
  <c r="S130" i="2"/>
  <c r="S131" i="2" s="1"/>
  <c r="S43" i="2"/>
  <c r="S44" i="2" s="1"/>
  <c r="S33" i="2"/>
</calcChain>
</file>

<file path=xl/sharedStrings.xml><?xml version="1.0" encoding="utf-8"?>
<sst xmlns="http://schemas.openxmlformats.org/spreadsheetml/2006/main" count="948" uniqueCount="97">
  <si>
    <t>Demonstrativo Liquidação</t>
  </si>
  <si>
    <t>Natureza do Pagamento</t>
  </si>
  <si>
    <t>Série</t>
  </si>
  <si>
    <t xml:space="preserve">Data </t>
  </si>
  <si>
    <t>PU
Liquidação</t>
  </si>
  <si>
    <t>Quantidade</t>
  </si>
  <si>
    <t>Lançamento</t>
  </si>
  <si>
    <t>Razão Social</t>
  </si>
  <si>
    <t>CNPJ</t>
  </si>
  <si>
    <t>Número</t>
  </si>
  <si>
    <t>Banco</t>
  </si>
  <si>
    <t>Agência</t>
  </si>
  <si>
    <t>Conta</t>
  </si>
  <si>
    <t>Valor do Serviço</t>
  </si>
  <si>
    <t>Gross-Up</t>
  </si>
  <si>
    <t>Valor Bruto NF</t>
  </si>
  <si>
    <t>Retenção NF</t>
  </si>
  <si>
    <t>Retenção</t>
  </si>
  <si>
    <t>Valor</t>
  </si>
  <si>
    <t>Observação</t>
  </si>
  <si>
    <t>Integralização</t>
  </si>
  <si>
    <t>Total Dia</t>
  </si>
  <si>
    <t>Total Integralização</t>
  </si>
  <si>
    <t>Transferência</t>
  </si>
  <si>
    <t>Fee Estruturação</t>
  </si>
  <si>
    <t>TForte Participação Ltda</t>
  </si>
  <si>
    <t>21.567.223/0001-05</t>
  </si>
  <si>
    <t>Itaú Unibanco S.A.</t>
  </si>
  <si>
    <t>0869-8</t>
  </si>
  <si>
    <t>12663-1</t>
  </si>
  <si>
    <t>Taxa de Sucesso</t>
  </si>
  <si>
    <t xml:space="preserve">Advogados - Assessoria </t>
  </si>
  <si>
    <t>Banco Bradesco S.A.</t>
  </si>
  <si>
    <t>Coordenador Líder</t>
  </si>
  <si>
    <t>Engenharia</t>
  </si>
  <si>
    <t>CONVESTE AUDFILES SERVICOS FINANCEIROS LTDA</t>
  </si>
  <si>
    <t>29.758.816/0001-60</t>
  </si>
  <si>
    <t>43542-5</t>
  </si>
  <si>
    <t>Agente Fiduciário</t>
  </si>
  <si>
    <t>VX Partners Intermediação de Negócios Ltda.</t>
  </si>
  <si>
    <t>19.179.438/0001-07</t>
  </si>
  <si>
    <t>0644-0</t>
  </si>
  <si>
    <t>Agente Custodiante</t>
  </si>
  <si>
    <t>Agente Registrador CCI</t>
  </si>
  <si>
    <t xml:space="preserve">Provisão de Despesas </t>
  </si>
  <si>
    <t>Registro CCI B3 (Débito Automático)</t>
  </si>
  <si>
    <t>Forte Securitizadora S/A</t>
  </si>
  <si>
    <t>12.979.898/0001-70</t>
  </si>
  <si>
    <t>Registro CRI B3 (Débito Automático)</t>
  </si>
  <si>
    <t>Custos Mov. CRI/CCI B3 (Estimado-Deb. Aut.)</t>
  </si>
  <si>
    <t>Taxa de Registro - Anbima</t>
  </si>
  <si>
    <t>Retenção de Impostos sobre NFs</t>
  </si>
  <si>
    <t>Retenção de Impostos</t>
  </si>
  <si>
    <t>Imposto - TForte Participação Ltda</t>
  </si>
  <si>
    <t>Imposto - Coordenador Líder</t>
  </si>
  <si>
    <t>03.751.794/0001-13</t>
  </si>
  <si>
    <t>Imposto - Auditoria Financeira e Implantação</t>
  </si>
  <si>
    <t>Imposto - Agente Fiduciário</t>
  </si>
  <si>
    <t>Forte Securitizadora S.A.</t>
  </si>
  <si>
    <t>TERRA INVESTIMENTOS DTVM LTDA.</t>
  </si>
  <si>
    <t>0560</t>
  </si>
  <si>
    <t>0156021-2</t>
  </si>
  <si>
    <t>Conforme Escritura de CCI</t>
  </si>
  <si>
    <t xml:space="preserve">Madeira, Valentin &amp; Gallardo Sociedade de Advogados </t>
  </si>
  <si>
    <t>14.150.382/0001-44</t>
  </si>
  <si>
    <t>0445</t>
  </si>
  <si>
    <t>19299-0</t>
  </si>
  <si>
    <t>Imposto - MVA</t>
  </si>
  <si>
    <t>13845-5</t>
  </si>
  <si>
    <t>Rating</t>
  </si>
  <si>
    <t>Aguardando Transferência</t>
  </si>
  <si>
    <t>Auditoria Financeira</t>
  </si>
  <si>
    <t>Implantação</t>
  </si>
  <si>
    <t>Livre Destinação</t>
  </si>
  <si>
    <t>1,00% do Integralizado conforme proposta</t>
  </si>
  <si>
    <t>SPE WGSA 02 EMPREENDIMENTOS IMOBILIÁRIOS S.A</t>
  </si>
  <si>
    <t>19.924.962/0001-65</t>
  </si>
  <si>
    <t>19924-9</t>
  </si>
  <si>
    <t>Considerando 5579 Contratos, conforme Conforme Escritura de CCI</t>
  </si>
  <si>
    <t>Considerando 12127 contratos</t>
  </si>
  <si>
    <t>Considerando 10868 contratos</t>
  </si>
  <si>
    <t>HARCA ENGENHARIA EIRELI - ME</t>
  </si>
  <si>
    <t>20.620.442/0001-48</t>
  </si>
  <si>
    <t>003</t>
  </si>
  <si>
    <t>Caixa Econômica Federal</t>
  </si>
  <si>
    <t>00000620-5</t>
  </si>
  <si>
    <t>Fundo de Obra</t>
  </si>
  <si>
    <t>8095-0</t>
  </si>
  <si>
    <t>Fundo de Reserva</t>
  </si>
  <si>
    <t>Elaborado por Fernando Passos</t>
  </si>
  <si>
    <t>CRI Solar das Águas - Mapa de Liquidação</t>
  </si>
  <si>
    <t>Fundo de Aplicação</t>
  </si>
  <si>
    <t>Alocação FR</t>
  </si>
  <si>
    <t>Alocação FO</t>
  </si>
  <si>
    <t>Destinação Livre</t>
  </si>
  <si>
    <t>Retenção PMT</t>
  </si>
  <si>
    <t>Saldo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</si>
</sst>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R$&quot;\ #,##0.00;[Red]\-&quot;R$&quot;\ #,##0.00"/>
    <numFmt numFmtId="165" formatCode="0.0000%&quot; a.a.&quot;"/>
    <numFmt numFmtId="166" formatCode="_(#,##0_);_(\(#,##0\);_(&quot;-&quot;_);_(@_)"/>
    <numFmt numFmtId="167" formatCode="_(#,##0.00_);_(\(#,##0.00\);_(&quot;-&quot;_);_(@_)"/>
    <numFmt numFmtId="168" formatCode="#,##0.00_ ;\-#,##0.00\ "/>
    <numFmt numFmtId="169" formatCode="dd/mm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20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FBE4D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theme="0" tint="-0.24994659260841701"/>
      </right>
      <top style="hair">
        <color indexed="64"/>
      </top>
      <bottom/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223">
    <xf numFmtId="0" fontId="0" fillId="0" borderId="0" xfId="0"/>
    <xf numFmtId="0" fontId="3" fillId="2" borderId="0" xfId="1" applyFont="1" applyFill="1" applyAlignment="1">
      <alignment horizontal="center"/>
    </xf>
    <xf numFmtId="0" fontId="3" fillId="0" borderId="0" xfId="1" applyFont="1"/>
    <xf numFmtId="43" fontId="3" fillId="0" borderId="0" xfId="2" applyFont="1"/>
    <xf numFmtId="0" fontId="3" fillId="0" borderId="0" xfId="1" applyFont="1" applyAlignment="1">
      <alignment horizontal="center"/>
    </xf>
    <xf numFmtId="43" fontId="3" fillId="0" borderId="0" xfId="1" applyNumberFormat="1" applyFont="1"/>
    <xf numFmtId="43" fontId="3" fillId="0" borderId="0" xfId="2" applyFont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43" fontId="3" fillId="0" borderId="0" xfId="1" applyNumberFormat="1" applyFont="1" applyAlignment="1">
      <alignment vertical="center"/>
    </xf>
    <xf numFmtId="165" fontId="3" fillId="0" borderId="0" xfId="3" applyNumberFormat="1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14" fontId="3" fillId="0" borderId="0" xfId="1" applyNumberFormat="1" applyFont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0" fontId="3" fillId="0" borderId="0" xfId="4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164" fontId="3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6" fillId="2" borderId="0" xfId="1" applyFont="1" applyFill="1"/>
    <xf numFmtId="0" fontId="3" fillId="2" borderId="2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3" fillId="2" borderId="0" xfId="1" applyFont="1" applyFill="1"/>
    <xf numFmtId="0" fontId="4" fillId="0" borderId="0" xfId="1" applyFont="1" applyAlignment="1">
      <alignment horizontal="left" vertical="center" indent="3"/>
    </xf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6" fillId="3" borderId="0" xfId="1" applyFont="1" applyFill="1" applyAlignment="1" applyProtection="1">
      <alignment horizontal="center" vertical="center" wrapText="1"/>
      <protection locked="0"/>
    </xf>
    <xf numFmtId="0" fontId="6" fillId="3" borderId="0" xfId="1" applyFont="1" applyFill="1" applyAlignment="1" applyProtection="1">
      <alignment horizontal="center" vertical="center"/>
      <protection locked="0"/>
    </xf>
    <xf numFmtId="0" fontId="6" fillId="3" borderId="0" xfId="1" applyFont="1" applyFill="1" applyAlignment="1" applyProtection="1">
      <alignment horizontal="centerContinuous" vertical="center" wrapText="1"/>
      <protection locked="0"/>
    </xf>
    <xf numFmtId="164" fontId="6" fillId="4" borderId="0" xfId="1" applyNumberFormat="1" applyFont="1" applyFill="1" applyAlignment="1">
      <alignment horizontal="center"/>
    </xf>
    <xf numFmtId="0" fontId="6" fillId="4" borderId="0" xfId="1" applyFont="1" applyFill="1" applyAlignment="1">
      <alignment horizontal="center" vertical="center"/>
    </xf>
    <xf numFmtId="167" fontId="6" fillId="4" borderId="0" xfId="1" applyNumberFormat="1" applyFont="1" applyFill="1" applyAlignment="1">
      <alignment horizontal="center"/>
    </xf>
    <xf numFmtId="166" fontId="6" fillId="4" borderId="0" xfId="1" applyNumberFormat="1" applyFont="1" applyFill="1" applyAlignment="1">
      <alignment horizontal="center"/>
    </xf>
    <xf numFmtId="0" fontId="6" fillId="4" borderId="0" xfId="1" applyFont="1" applyFill="1" applyAlignment="1">
      <alignment vertical="center"/>
    </xf>
    <xf numFmtId="0" fontId="6" fillId="4" borderId="0" xfId="1" applyFont="1" applyFill="1"/>
    <xf numFmtId="0" fontId="6" fillId="4" borderId="0" xfId="1" applyFont="1" applyFill="1" applyAlignment="1">
      <alignment horizontal="center"/>
    </xf>
    <xf numFmtId="0" fontId="6" fillId="4" borderId="0" xfId="1" quotePrefix="1" applyFont="1" applyFill="1" applyAlignment="1">
      <alignment horizontal="center"/>
    </xf>
    <xf numFmtId="10" fontId="6" fillId="4" borderId="0" xfId="1" applyNumberFormat="1" applyFont="1" applyFill="1" applyAlignment="1">
      <alignment horizontal="center"/>
    </xf>
    <xf numFmtId="43" fontId="6" fillId="4" borderId="0" xfId="2" applyFont="1" applyFill="1" applyAlignment="1">
      <alignment horizontal="center"/>
    </xf>
    <xf numFmtId="168" fontId="6" fillId="4" borderId="0" xfId="2" applyNumberFormat="1" applyFont="1" applyFill="1" applyAlignment="1">
      <alignment horizontal="center"/>
    </xf>
    <xf numFmtId="0" fontId="3" fillId="0" borderId="0" xfId="1" quotePrefix="1" applyFont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43" fontId="3" fillId="0" borderId="0" xfId="2" applyFont="1" applyAlignment="1">
      <alignment horizontal="center" vertical="center"/>
    </xf>
    <xf numFmtId="164" fontId="3" fillId="4" borderId="0" xfId="1" applyNumberFormat="1" applyFont="1" applyFill="1" applyAlignment="1">
      <alignment horizontal="center" vertical="center"/>
    </xf>
    <xf numFmtId="0" fontId="3" fillId="4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4" borderId="0" xfId="1" quotePrefix="1" applyFont="1" applyFill="1" applyAlignment="1">
      <alignment horizontal="center" vertical="center"/>
    </xf>
    <xf numFmtId="164" fontId="3" fillId="4" borderId="0" xfId="1" applyNumberFormat="1" applyFont="1" applyFill="1" applyBorder="1" applyAlignment="1">
      <alignment horizontal="center" vertical="center"/>
    </xf>
    <xf numFmtId="10" fontId="3" fillId="4" borderId="0" xfId="1" applyNumberFormat="1" applyFont="1" applyFill="1" applyAlignment="1">
      <alignment horizontal="center" vertical="center"/>
    </xf>
    <xf numFmtId="43" fontId="3" fillId="4" borderId="0" xfId="2" applyFont="1" applyFill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vertical="center"/>
    </xf>
    <xf numFmtId="0" fontId="7" fillId="5" borderId="2" xfId="1" applyFont="1" applyFill="1" applyBorder="1" applyAlignment="1">
      <alignment horizontal="right" vertical="center"/>
    </xf>
    <xf numFmtId="0" fontId="3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quotePrefix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10" fontId="3" fillId="5" borderId="2" xfId="0" applyNumberFormat="1" applyFont="1" applyFill="1" applyBorder="1" applyAlignment="1">
      <alignment horizontal="center" vertical="center"/>
    </xf>
    <xf numFmtId="43" fontId="3" fillId="5" borderId="2" xfId="7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164" fontId="3" fillId="5" borderId="0" xfId="1" applyNumberFormat="1" applyFont="1" applyFill="1" applyBorder="1" applyAlignment="1">
      <alignment horizontal="center" vertical="center"/>
    </xf>
    <xf numFmtId="0" fontId="3" fillId="5" borderId="0" xfId="1" applyFont="1" applyFill="1" applyAlignment="1">
      <alignment vertical="center"/>
    </xf>
    <xf numFmtId="14" fontId="3" fillId="5" borderId="0" xfId="1" applyNumberFormat="1" applyFont="1" applyFill="1" applyAlignment="1">
      <alignment horizontal="center" vertical="center"/>
    </xf>
    <xf numFmtId="0" fontId="7" fillId="5" borderId="0" xfId="1" applyFont="1" applyFill="1" applyAlignment="1">
      <alignment horizontal="right" vertical="center"/>
    </xf>
    <xf numFmtId="0" fontId="3" fillId="5" borderId="0" xfId="1" applyFont="1" applyFill="1" applyAlignment="1">
      <alignment horizontal="center" vertical="center"/>
    </xf>
    <xf numFmtId="0" fontId="3" fillId="5" borderId="0" xfId="1" quotePrefix="1" applyFont="1" applyFill="1" applyAlignment="1">
      <alignment horizontal="center" vertical="center"/>
    </xf>
    <xf numFmtId="164" fontId="3" fillId="5" borderId="0" xfId="1" applyNumberFormat="1" applyFont="1" applyFill="1" applyAlignment="1">
      <alignment horizontal="center" vertical="center"/>
    </xf>
    <xf numFmtId="10" fontId="3" fillId="5" borderId="0" xfId="1" applyNumberFormat="1" applyFont="1" applyFill="1" applyAlignment="1">
      <alignment horizontal="center" vertical="center"/>
    </xf>
    <xf numFmtId="43" fontId="3" fillId="5" borderId="0" xfId="2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3" fillId="5" borderId="0" xfId="0" quotePrefix="1" applyFont="1" applyFill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vertical="center"/>
    </xf>
    <xf numFmtId="0" fontId="7" fillId="5" borderId="4" xfId="1" applyFont="1" applyFill="1" applyBorder="1" applyAlignment="1">
      <alignment horizontal="right" vertical="center"/>
    </xf>
    <xf numFmtId="0" fontId="3" fillId="5" borderId="4" xfId="1" quotePrefix="1" applyFont="1" applyFill="1" applyBorder="1" applyAlignment="1">
      <alignment horizontal="center" vertical="center"/>
    </xf>
    <xf numFmtId="164" fontId="3" fillId="5" borderId="4" xfId="1" applyNumberFormat="1" applyFont="1" applyFill="1" applyBorder="1" applyAlignment="1">
      <alignment horizontal="center" vertical="center"/>
    </xf>
    <xf numFmtId="10" fontId="3" fillId="5" borderId="4" xfId="1" applyNumberFormat="1" applyFont="1" applyFill="1" applyBorder="1" applyAlignment="1">
      <alignment horizontal="center" vertical="center"/>
    </xf>
    <xf numFmtId="43" fontId="3" fillId="5" borderId="4" xfId="2" applyFont="1" applyFill="1" applyBorder="1" applyAlignment="1">
      <alignment horizontal="center" vertical="center"/>
    </xf>
    <xf numFmtId="0" fontId="3" fillId="6" borderId="0" xfId="1" applyFont="1" applyFill="1" applyBorder="1" applyAlignment="1">
      <alignment horizontal="center" vertical="center"/>
    </xf>
    <xf numFmtId="0" fontId="3" fillId="6" borderId="0" xfId="1" applyFont="1" applyFill="1" applyBorder="1" applyAlignment="1">
      <alignment horizontal="right" vertical="center"/>
    </xf>
    <xf numFmtId="0" fontId="3" fillId="6" borderId="0" xfId="1" applyFont="1" applyFill="1" applyBorder="1" applyAlignment="1">
      <alignment vertical="center"/>
    </xf>
    <xf numFmtId="164" fontId="3" fillId="6" borderId="0" xfId="1" applyNumberFormat="1" applyFont="1" applyFill="1" applyBorder="1" applyAlignment="1">
      <alignment horizontal="center" vertical="center"/>
    </xf>
    <xf numFmtId="10" fontId="3" fillId="6" borderId="0" xfId="1" applyNumberFormat="1" applyFont="1" applyFill="1" applyBorder="1" applyAlignment="1">
      <alignment horizontal="center" vertical="center"/>
    </xf>
    <xf numFmtId="43" fontId="3" fillId="6" borderId="0" xfId="2" applyFont="1" applyFill="1" applyBorder="1" applyAlignment="1">
      <alignment horizontal="center" vertical="center"/>
    </xf>
    <xf numFmtId="0" fontId="3" fillId="6" borderId="0" xfId="1" applyFont="1" applyFill="1" applyAlignment="1">
      <alignment horizontal="center" vertical="center"/>
    </xf>
    <xf numFmtId="0" fontId="3" fillId="6" borderId="0" xfId="1" applyFont="1" applyFill="1" applyAlignment="1">
      <alignment horizontal="right" vertical="center"/>
    </xf>
    <xf numFmtId="0" fontId="3" fillId="6" borderId="0" xfId="1" applyFont="1" applyFill="1" applyAlignment="1">
      <alignment vertical="center"/>
    </xf>
    <xf numFmtId="164" fontId="3" fillId="6" borderId="0" xfId="1" applyNumberFormat="1" applyFont="1" applyFill="1" applyAlignment="1">
      <alignment horizontal="center" vertical="center"/>
    </xf>
    <xf numFmtId="10" fontId="3" fillId="6" borderId="0" xfId="1" applyNumberFormat="1" applyFont="1" applyFill="1" applyAlignment="1">
      <alignment horizontal="center" vertical="center"/>
    </xf>
    <xf numFmtId="43" fontId="3" fillId="6" borderId="0" xfId="2" applyFont="1" applyFill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164" fontId="6" fillId="0" borderId="0" xfId="1" applyNumberFormat="1" applyFont="1" applyAlignment="1">
      <alignment horizontal="center" vertical="center"/>
    </xf>
    <xf numFmtId="10" fontId="6" fillId="0" borderId="0" xfId="1" applyNumberFormat="1" applyFont="1" applyAlignment="1">
      <alignment horizontal="center" vertical="center"/>
    </xf>
    <xf numFmtId="43" fontId="6" fillId="0" borderId="0" xfId="2" applyFont="1" applyAlignment="1">
      <alignment horizontal="center" vertical="center"/>
    </xf>
    <xf numFmtId="0" fontId="3" fillId="4" borderId="0" xfId="1" applyFont="1" applyFill="1" applyAlignment="1">
      <alignment horizontal="left" vertical="center" indent="1"/>
    </xf>
    <xf numFmtId="164" fontId="3" fillId="4" borderId="0" xfId="1" applyNumberFormat="1" applyFont="1" applyFill="1" applyAlignment="1">
      <alignment horizont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 indent="1"/>
    </xf>
    <xf numFmtId="0" fontId="3" fillId="0" borderId="0" xfId="0" applyFont="1" applyFill="1" applyBorder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0" fontId="3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/>
    </xf>
    <xf numFmtId="43" fontId="3" fillId="0" borderId="0" xfId="2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164" fontId="3" fillId="0" borderId="0" xfId="1" applyNumberFormat="1" applyFont="1" applyAlignment="1">
      <alignment horizontal="center"/>
    </xf>
    <xf numFmtId="43" fontId="6" fillId="4" borderId="0" xfId="1" applyNumberFormat="1" applyFont="1" applyFill="1" applyAlignment="1">
      <alignment horizontal="center" vertical="center"/>
    </xf>
    <xf numFmtId="43" fontId="6" fillId="4" borderId="0" xfId="1" applyNumberFormat="1" applyFont="1" applyFill="1" applyAlignment="1">
      <alignment vertical="center"/>
    </xf>
    <xf numFmtId="43" fontId="3" fillId="4" borderId="0" xfId="1" applyNumberFormat="1" applyFont="1" applyFill="1" applyAlignment="1">
      <alignment horizontal="center" vertical="center"/>
    </xf>
    <xf numFmtId="43" fontId="3" fillId="4" borderId="0" xfId="1" applyNumberFormat="1" applyFont="1" applyFill="1" applyAlignment="1">
      <alignment vertical="center"/>
    </xf>
    <xf numFmtId="43" fontId="3" fillId="4" borderId="0" xfId="1" quotePrefix="1" applyNumberFormat="1" applyFont="1" applyFill="1" applyAlignment="1">
      <alignment horizontal="center" vertical="center"/>
    </xf>
    <xf numFmtId="164" fontId="6" fillId="4" borderId="0" xfId="1" applyNumberFormat="1" applyFont="1" applyFill="1" applyAlignment="1">
      <alignment horizontal="center" vertical="center"/>
    </xf>
    <xf numFmtId="43" fontId="6" fillId="3" borderId="0" xfId="1" applyNumberFormat="1" applyFont="1" applyFill="1" applyAlignment="1">
      <alignment horizontal="center" vertical="center"/>
    </xf>
    <xf numFmtId="43" fontId="6" fillId="3" borderId="0" xfId="1" applyNumberFormat="1" applyFont="1" applyFill="1" applyAlignment="1">
      <alignment vertical="center"/>
    </xf>
    <xf numFmtId="43" fontId="3" fillId="3" borderId="0" xfId="1" applyNumberFormat="1" applyFont="1" applyFill="1" applyAlignment="1">
      <alignment horizontal="center" vertical="center"/>
    </xf>
    <xf numFmtId="43" fontId="3" fillId="3" borderId="0" xfId="1" applyNumberFormat="1" applyFont="1" applyFill="1" applyAlignment="1">
      <alignment vertical="center"/>
    </xf>
    <xf numFmtId="43" fontId="3" fillId="3" borderId="0" xfId="1" quotePrefix="1" applyNumberFormat="1" applyFont="1" applyFill="1" applyAlignment="1">
      <alignment horizontal="center" vertical="center"/>
    </xf>
    <xf numFmtId="43" fontId="3" fillId="3" borderId="0" xfId="2" applyFont="1" applyFill="1" applyAlignment="1">
      <alignment horizontal="center" vertical="center"/>
    </xf>
    <xf numFmtId="164" fontId="6" fillId="3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6" fillId="0" borderId="1" xfId="5" applyFont="1" applyBorder="1" applyAlignment="1">
      <alignment horizontal="left" vertical="center"/>
    </xf>
    <xf numFmtId="0" fontId="3" fillId="0" borderId="0" xfId="1" applyFont="1" applyFill="1" applyAlignment="1">
      <alignment horizontal="left"/>
    </xf>
    <xf numFmtId="0" fontId="6" fillId="3" borderId="0" xfId="1" applyFont="1" applyFill="1" applyBorder="1" applyAlignment="1" applyProtection="1">
      <alignment horizontal="center" vertical="center" wrapText="1"/>
      <protection locked="0"/>
    </xf>
    <xf numFmtId="169" fontId="3" fillId="0" borderId="0" xfId="1" applyNumberFormat="1" applyFont="1"/>
    <xf numFmtId="169" fontId="4" fillId="0" borderId="0" xfId="1" applyNumberFormat="1" applyFont="1" applyAlignment="1">
      <alignment horizontal="left" vertical="center" indent="3"/>
    </xf>
    <xf numFmtId="169" fontId="3" fillId="0" borderId="0" xfId="1" applyNumberFormat="1" applyFont="1" applyAlignment="1">
      <alignment vertical="center"/>
    </xf>
    <xf numFmtId="169" fontId="6" fillId="3" borderId="0" xfId="1" applyNumberFormat="1" applyFont="1" applyFill="1" applyAlignment="1" applyProtection="1">
      <alignment horizontal="center" vertical="center" wrapText="1"/>
      <protection locked="0"/>
    </xf>
    <xf numFmtId="169" fontId="6" fillId="4" borderId="0" xfId="1" applyNumberFormat="1" applyFont="1" applyFill="1" applyAlignment="1">
      <alignment horizontal="center"/>
    </xf>
    <xf numFmtId="169" fontId="6" fillId="0" borderId="0" xfId="1" applyNumberFormat="1" applyFont="1" applyAlignment="1">
      <alignment horizontal="center"/>
    </xf>
    <xf numFmtId="169" fontId="3" fillId="5" borderId="2" xfId="1" applyNumberFormat="1" applyFont="1" applyFill="1" applyBorder="1" applyAlignment="1">
      <alignment horizontal="center" vertical="center"/>
    </xf>
    <xf numFmtId="169" fontId="3" fillId="5" borderId="0" xfId="1" applyNumberFormat="1" applyFont="1" applyFill="1" applyAlignment="1">
      <alignment horizontal="center" vertical="center"/>
    </xf>
    <xf numFmtId="169" fontId="3" fillId="5" borderId="4" xfId="1" applyNumberFormat="1" applyFont="1" applyFill="1" applyBorder="1" applyAlignment="1">
      <alignment horizontal="center" vertical="center"/>
    </xf>
    <xf numFmtId="169" fontId="3" fillId="6" borderId="0" xfId="1" applyNumberFormat="1" applyFont="1" applyFill="1" applyBorder="1" applyAlignment="1">
      <alignment horizontal="center" vertical="center"/>
    </xf>
    <xf numFmtId="169" fontId="3" fillId="6" borderId="0" xfId="1" applyNumberFormat="1" applyFont="1" applyFill="1" applyAlignment="1">
      <alignment horizontal="center" vertical="center"/>
    </xf>
    <xf numFmtId="169" fontId="3" fillId="4" borderId="0" xfId="1" applyNumberFormat="1" applyFont="1" applyFill="1" applyAlignment="1">
      <alignment horizontal="center" vertical="center"/>
    </xf>
    <xf numFmtId="169" fontId="3" fillId="0" borderId="0" xfId="1" applyNumberFormat="1" applyFont="1" applyFill="1" applyAlignment="1">
      <alignment horizontal="center" vertical="center"/>
    </xf>
    <xf numFmtId="169" fontId="3" fillId="0" borderId="0" xfId="1" applyNumberFormat="1" applyFont="1" applyAlignment="1">
      <alignment horizontal="center" vertical="center"/>
    </xf>
    <xf numFmtId="169" fontId="3" fillId="3" borderId="0" xfId="1" applyNumberFormat="1" applyFont="1" applyFill="1" applyAlignment="1">
      <alignment horizontal="center" vertical="center"/>
    </xf>
    <xf numFmtId="0" fontId="3" fillId="4" borderId="0" xfId="1" applyFont="1" applyFill="1"/>
    <xf numFmtId="0" fontId="3" fillId="4" borderId="0" xfId="1" applyFont="1" applyFill="1" applyAlignment="1">
      <alignment horizontal="center"/>
    </xf>
    <xf numFmtId="0" fontId="3" fillId="4" borderId="0" xfId="1" quotePrefix="1" applyFont="1" applyFill="1" applyAlignment="1">
      <alignment horizontal="center"/>
    </xf>
    <xf numFmtId="10" fontId="3" fillId="4" borderId="0" xfId="1" applyNumberFormat="1" applyFont="1" applyFill="1" applyAlignment="1">
      <alignment horizontal="center"/>
    </xf>
    <xf numFmtId="43" fontId="3" fillId="4" borderId="0" xfId="2" applyFont="1" applyFill="1" applyAlignment="1">
      <alignment horizontal="center"/>
    </xf>
    <xf numFmtId="168" fontId="3" fillId="4" borderId="0" xfId="2" applyNumberFormat="1" applyFont="1" applyFill="1" applyAlignment="1">
      <alignment horizontal="center" vertical="center"/>
    </xf>
    <xf numFmtId="10" fontId="6" fillId="4" borderId="0" xfId="1" applyNumberFormat="1" applyFont="1" applyFill="1" applyAlignment="1">
      <alignment horizontal="center" vertical="center"/>
    </xf>
    <xf numFmtId="43" fontId="6" fillId="4" borderId="0" xfId="2" applyFont="1" applyFill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6" fillId="3" borderId="0" xfId="1" applyFont="1" applyFill="1" applyAlignment="1" applyProtection="1">
      <alignment horizontal="left" vertical="center" wrapText="1"/>
      <protection locked="0"/>
    </xf>
    <xf numFmtId="164" fontId="6" fillId="4" borderId="0" xfId="1" applyNumberFormat="1" applyFont="1" applyFill="1" applyAlignment="1">
      <alignment horizontal="left"/>
    </xf>
    <xf numFmtId="164" fontId="3" fillId="2" borderId="0" xfId="1" applyNumberFormat="1" applyFont="1" applyFill="1" applyAlignment="1">
      <alignment horizontal="left" vertical="center"/>
    </xf>
    <xf numFmtId="164" fontId="3" fillId="4" borderId="0" xfId="2" applyNumberFormat="1" applyFont="1" applyFill="1" applyAlignment="1">
      <alignment horizontal="left" vertical="center"/>
    </xf>
    <xf numFmtId="164" fontId="3" fillId="5" borderId="2" xfId="1" applyNumberFormat="1" applyFont="1" applyFill="1" applyBorder="1" applyAlignment="1">
      <alignment horizontal="left" vertical="center"/>
    </xf>
    <xf numFmtId="164" fontId="3" fillId="5" borderId="0" xfId="1" applyNumberFormat="1" applyFont="1" applyFill="1" applyAlignment="1">
      <alignment horizontal="left" vertical="center"/>
    </xf>
    <xf numFmtId="164" fontId="3" fillId="5" borderId="4" xfId="1" applyNumberFormat="1" applyFont="1" applyFill="1" applyBorder="1" applyAlignment="1">
      <alignment horizontal="left" vertical="center"/>
    </xf>
    <xf numFmtId="10" fontId="3" fillId="6" borderId="0" xfId="1" applyNumberFormat="1" applyFont="1" applyFill="1" applyBorder="1" applyAlignment="1">
      <alignment horizontal="left" vertical="center"/>
    </xf>
    <xf numFmtId="164" fontId="3" fillId="6" borderId="0" xfId="1" applyNumberFormat="1" applyFont="1" applyFill="1" applyAlignment="1">
      <alignment horizontal="left" vertical="center"/>
    </xf>
    <xf numFmtId="164" fontId="6" fillId="0" borderId="0" xfId="1" applyNumberFormat="1" applyFont="1" applyAlignment="1">
      <alignment horizontal="left" vertical="center"/>
    </xf>
    <xf numFmtId="164" fontId="3" fillId="4" borderId="0" xfId="1" applyNumberFormat="1" applyFont="1" applyFill="1" applyAlignment="1">
      <alignment horizontal="left" vertical="center"/>
    </xf>
    <xf numFmtId="164" fontId="3" fillId="0" borderId="0" xfId="1" applyNumberFormat="1" applyFont="1" applyFill="1" applyAlignment="1">
      <alignment horizontal="left" vertical="center"/>
    </xf>
    <xf numFmtId="164" fontId="3" fillId="0" borderId="0" xfId="1" applyNumberFormat="1" applyFont="1" applyAlignment="1">
      <alignment horizontal="left" vertical="center"/>
    </xf>
    <xf numFmtId="164" fontId="3" fillId="3" borderId="0" xfId="1" applyNumberFormat="1" applyFont="1" applyFill="1" applyAlignment="1">
      <alignment horizontal="left" vertical="center"/>
    </xf>
    <xf numFmtId="164" fontId="3" fillId="0" borderId="0" xfId="2" applyNumberFormat="1" applyFont="1" applyFill="1" applyAlignment="1">
      <alignment horizontal="left" vertical="center"/>
    </xf>
    <xf numFmtId="169" fontId="6" fillId="0" borderId="0" xfId="1" applyNumberFormat="1" applyFont="1" applyFill="1" applyAlignment="1">
      <alignment horizontal="center"/>
    </xf>
    <xf numFmtId="0" fontId="3" fillId="4" borderId="0" xfId="1" applyFont="1" applyFill="1" applyAlignment="1">
      <alignment horizontal="right" vertical="center"/>
    </xf>
    <xf numFmtId="169" fontId="3" fillId="4" borderId="0" xfId="1" applyNumberFormat="1" applyFont="1" applyFill="1" applyAlignment="1">
      <alignment vertical="center"/>
    </xf>
    <xf numFmtId="164" fontId="6" fillId="4" borderId="0" xfId="1" applyNumberFormat="1" applyFont="1" applyFill="1" applyAlignment="1">
      <alignment horizontal="left" vertical="center"/>
    </xf>
    <xf numFmtId="0" fontId="3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164" fontId="6" fillId="2" borderId="0" xfId="1" applyNumberFormat="1" applyFont="1" applyFill="1"/>
    <xf numFmtId="166" fontId="3" fillId="2" borderId="0" xfId="1" applyNumberFormat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169" fontId="3" fillId="4" borderId="0" xfId="1" applyNumberFormat="1" applyFont="1" applyFill="1" applyAlignment="1">
      <alignment horizontal="center"/>
    </xf>
    <xf numFmtId="167" fontId="3" fillId="4" borderId="0" xfId="1" applyNumberFormat="1" applyFont="1" applyFill="1" applyAlignment="1">
      <alignment horizontal="center"/>
    </xf>
    <xf numFmtId="166" fontId="3" fillId="4" borderId="0" xfId="1" applyNumberFormat="1" applyFont="1" applyFill="1" applyAlignment="1">
      <alignment horizontal="center"/>
    </xf>
    <xf numFmtId="0" fontId="6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43" fontId="3" fillId="0" borderId="0" xfId="7" applyFont="1"/>
    <xf numFmtId="0" fontId="3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9" fontId="3" fillId="4" borderId="0" xfId="1" applyNumberFormat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3"/>
    </xf>
    <xf numFmtId="0" fontId="6" fillId="0" borderId="1" xfId="5" applyFont="1" applyBorder="1" applyAlignment="1">
      <alignment horizontal="center" vertical="center"/>
    </xf>
    <xf numFmtId="0" fontId="6" fillId="6" borderId="0" xfId="1" applyFont="1" applyFill="1" applyBorder="1" applyAlignment="1">
      <alignment horizontal="center" vertical="center"/>
    </xf>
    <xf numFmtId="0" fontId="6" fillId="6" borderId="0" xfId="1" applyFont="1" applyFill="1" applyAlignment="1">
      <alignment horizontal="center" vertical="center"/>
    </xf>
    <xf numFmtId="0" fontId="8" fillId="0" borderId="3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3" fillId="4" borderId="0" xfId="1" applyFont="1" applyFill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</cellXfs>
  <cellStyles count="8">
    <cellStyle name="Comma" xfId="7" builtinId="3"/>
    <cellStyle name="Normal" xfId="0" builtinId="0"/>
    <cellStyle name="Normal 10" xfId="5" xr:uid="{2431C8B8-7246-4F35-B8A1-7DBC23F5B835}"/>
    <cellStyle name="Normal 2" xfId="1" xr:uid="{646DDEB3-9C79-4B82-871C-3D681F04151F}"/>
    <cellStyle name="Normal 3 2" xfId="6" xr:uid="{526AC5FB-DF55-4728-80B7-BC99FAFC71EC}"/>
    <cellStyle name="Porcentagem 2" xfId="4" xr:uid="{B04A9517-6AE4-473F-B291-F653F7672C1A}"/>
    <cellStyle name="Porcentagem 3" xfId="3" xr:uid="{EE869E75-C047-4085-A048-6D0EE5CDC8FF}"/>
    <cellStyle name="Vírgula 2" xfId="2" xr:uid="{7948594A-FD1A-4561-9023-E49921FABE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137583</xdr:rowOff>
    </xdr:from>
    <xdr:to>
      <xdr:col>2</xdr:col>
      <xdr:colOff>126999</xdr:colOff>
      <xdr:row>2</xdr:row>
      <xdr:rowOff>137583</xdr:rowOff>
    </xdr:to>
    <xdr:pic>
      <xdr:nvPicPr>
        <xdr:cNvPr id="2" name="Imagem 1" descr="Uma imagem contendo clip-art&#10;&#10;Descrição gerada automaticamente">
          <a:extLst>
            <a:ext uri="{FF2B5EF4-FFF2-40B4-BE49-F238E27FC236}">
              <a16:creationId xmlns:a16="http://schemas.microsoft.com/office/drawing/2014/main" id="{75448BD3-C25F-4B15-BEFB-4E3526620A3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7" y="137583"/>
          <a:ext cx="1545166" cy="50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_Negocios\3_Gestao\2_CRI\CRI_S218_219_A&amp;C%20Lima\2_Estruturacao\7_Liquidacao\3_Mapa%20de%20Liquida&#231;&#227;o\20190606_CRI_S218_219_A&amp;CLima_Mapa_Liquida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 Up"/>
      <sheetName val="Relatório Liquidação"/>
      <sheetName val="Referencias"/>
      <sheetName val="Resum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0B4E5-0295-4337-944E-3A4913AB8AAD}">
  <sheetPr codeName="Planilha1">
    <pageSetUpPr fitToPage="1"/>
  </sheetPr>
  <dimension ref="A1:U232"/>
  <sheetViews>
    <sheetView showGridLines="0" tabSelected="1" topLeftCell="A179" zoomScale="90" zoomScaleNormal="90" zoomScaleSheetLayoutView="90" workbookViewId="0">
      <selection activeCell="M211" sqref="M211"/>
    </sheetView>
  </sheetViews>
  <sheetFormatPr defaultColWidth="9.140625" defaultRowHeight="12" customHeight="1" x14ac:dyDescent="0.2"/>
  <cols>
    <col min="1" max="1" width="1" style="1" customWidth="1"/>
    <col min="2" max="2" width="22.28515625" style="2" bestFit="1" customWidth="1"/>
    <col min="3" max="3" width="10.140625" style="2" bestFit="1" customWidth="1"/>
    <col min="4" max="4" width="8.42578125" style="134" customWidth="1"/>
    <col min="5" max="5" width="10.42578125" style="2" bestFit="1" customWidth="1"/>
    <col min="6" max="6" width="11" style="2" bestFit="1" customWidth="1"/>
    <col min="7" max="7" width="30.85546875" style="2" customWidth="1"/>
    <col min="8" max="8" width="20.85546875" style="2" customWidth="1"/>
    <col min="9" max="9" width="17" style="2" bestFit="1" customWidth="1"/>
    <col min="10" max="10" width="9.140625" style="2" customWidth="1"/>
    <col min="11" max="11" width="20.42578125" style="2" customWidth="1"/>
    <col min="12" max="12" width="8.140625" style="2" bestFit="1" customWidth="1"/>
    <col min="13" max="13" width="10.5703125" style="2" bestFit="1" customWidth="1"/>
    <col min="14" max="14" width="15.5703125" style="2" bestFit="1" customWidth="1"/>
    <col min="15" max="15" width="9.28515625" style="3" bestFit="1" customWidth="1"/>
    <col min="16" max="16" width="13.42578125" style="3" bestFit="1" customWidth="1"/>
    <col min="17" max="17" width="11.7109375" style="3" bestFit="1" customWidth="1"/>
    <col min="18" max="18" width="10" style="3" bestFit="1" customWidth="1"/>
    <col min="19" max="19" width="15.140625" style="3" bestFit="1" customWidth="1"/>
    <col min="20" max="20" width="37.42578125" style="128" customWidth="1"/>
    <col min="21" max="21" width="15" style="25" bestFit="1" customWidth="1"/>
    <col min="22" max="16384" width="9.140625" style="25"/>
  </cols>
  <sheetData>
    <row r="1" spans="1:21" s="2" customFormat="1" ht="12" customHeight="1" x14ac:dyDescent="0.2">
      <c r="A1" s="1"/>
      <c r="D1" s="134"/>
      <c r="Q1" s="3"/>
      <c r="R1" s="3"/>
      <c r="S1" s="3"/>
      <c r="T1" s="128"/>
    </row>
    <row r="2" spans="1:21" s="2" customFormat="1" ht="28.5" customHeight="1" x14ac:dyDescent="0.2">
      <c r="A2" s="1"/>
      <c r="D2" s="215" t="s">
        <v>90</v>
      </c>
      <c r="E2" s="215"/>
      <c r="F2" s="215"/>
      <c r="G2" s="215"/>
      <c r="I2" s="4"/>
      <c r="N2" s="3"/>
      <c r="O2" s="5"/>
      <c r="Q2" s="6"/>
      <c r="R2" s="6"/>
      <c r="S2" s="6"/>
      <c r="T2" s="128"/>
    </row>
    <row r="3" spans="1:21" s="8" customFormat="1" ht="12" customHeight="1" x14ac:dyDescent="0.2">
      <c r="A3" s="7"/>
      <c r="D3" s="215"/>
      <c r="E3" s="215"/>
      <c r="F3" s="215"/>
      <c r="G3" s="215"/>
      <c r="H3" s="6"/>
      <c r="I3" s="9"/>
      <c r="K3" s="2"/>
      <c r="L3" s="10"/>
      <c r="N3" s="2"/>
      <c r="O3" s="2"/>
      <c r="P3" s="2"/>
      <c r="T3" s="129"/>
    </row>
    <row r="4" spans="1:21" s="8" customFormat="1" ht="12" customHeight="1" thickBot="1" x14ac:dyDescent="0.25">
      <c r="A4" s="7"/>
      <c r="D4" s="135"/>
      <c r="E4" s="26"/>
      <c r="F4" s="26"/>
      <c r="G4" s="26"/>
      <c r="H4" s="6"/>
      <c r="I4" s="9"/>
      <c r="K4" s="2"/>
      <c r="L4" s="10"/>
      <c r="N4" s="2"/>
      <c r="O4" s="2"/>
      <c r="P4" s="2"/>
      <c r="T4" s="157"/>
    </row>
    <row r="5" spans="1:21" s="8" customFormat="1" ht="15" x14ac:dyDescent="0.2">
      <c r="A5" s="7"/>
      <c r="D5" s="135"/>
      <c r="E5" s="26"/>
      <c r="F5" s="26"/>
      <c r="G5" s="26"/>
      <c r="H5" s="6"/>
      <c r="I5" s="9"/>
      <c r="K5" s="2"/>
      <c r="L5" s="10"/>
      <c r="N5" s="2"/>
      <c r="O5" s="2"/>
      <c r="P5" s="2"/>
      <c r="T5" s="130" t="s">
        <v>89</v>
      </c>
    </row>
    <row r="6" spans="1:21" s="8" customFormat="1" ht="12" customHeight="1" x14ac:dyDescent="0.25">
      <c r="A6" s="7"/>
      <c r="D6" s="136"/>
      <c r="E6" s="11"/>
      <c r="G6" s="12"/>
      <c r="H6" s="13"/>
      <c r="I6" s="14"/>
      <c r="J6" s="14"/>
      <c r="K6" s="15"/>
      <c r="M6" s="16"/>
      <c r="N6" s="6"/>
      <c r="O6" s="6"/>
      <c r="P6" s="6"/>
      <c r="Q6" s="6"/>
      <c r="R6" s="6"/>
      <c r="T6" s="129"/>
    </row>
    <row r="7" spans="1:21" s="21" customFormat="1" ht="15.75" customHeight="1" x14ac:dyDescent="0.25">
      <c r="A7" s="7"/>
      <c r="B7" s="216" t="s">
        <v>0</v>
      </c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131"/>
    </row>
    <row r="8" spans="1:21" s="21" customFormat="1" ht="39" customHeight="1" x14ac:dyDescent="0.25">
      <c r="A8" s="7"/>
      <c r="B8" s="29" t="s">
        <v>1</v>
      </c>
      <c r="C8" s="29" t="s">
        <v>2</v>
      </c>
      <c r="D8" s="137" t="s">
        <v>3</v>
      </c>
      <c r="E8" s="29" t="s">
        <v>4</v>
      </c>
      <c r="F8" s="30" t="s">
        <v>5</v>
      </c>
      <c r="G8" s="31" t="s">
        <v>6</v>
      </c>
      <c r="H8" s="31" t="s">
        <v>7</v>
      </c>
      <c r="I8" s="29" t="s">
        <v>8</v>
      </c>
      <c r="J8" s="29" t="s">
        <v>9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14</v>
      </c>
      <c r="P8" s="29" t="s">
        <v>15</v>
      </c>
      <c r="Q8" s="29" t="s">
        <v>16</v>
      </c>
      <c r="R8" s="29" t="s">
        <v>17</v>
      </c>
      <c r="S8" s="133" t="s">
        <v>18</v>
      </c>
      <c r="T8" s="158" t="s">
        <v>19</v>
      </c>
    </row>
    <row r="9" spans="1:21" s="22" customFormat="1" x14ac:dyDescent="0.2">
      <c r="A9" s="17"/>
      <c r="B9" s="102" t="s">
        <v>20</v>
      </c>
      <c r="C9" s="196">
        <v>336</v>
      </c>
      <c r="D9" s="199">
        <v>43809</v>
      </c>
      <c r="E9" s="200">
        <v>1000</v>
      </c>
      <c r="F9" s="201">
        <v>8000</v>
      </c>
      <c r="G9" s="49" t="s">
        <v>20</v>
      </c>
      <c r="H9" s="149"/>
      <c r="I9" s="149"/>
      <c r="J9" s="150"/>
      <c r="K9" s="150"/>
      <c r="L9" s="151"/>
      <c r="M9" s="150"/>
      <c r="N9" s="102"/>
      <c r="O9" s="152"/>
      <c r="P9" s="102"/>
      <c r="Q9" s="152"/>
      <c r="R9" s="153"/>
      <c r="S9" s="154">
        <f>E9*F9</f>
        <v>8000000</v>
      </c>
      <c r="T9" s="159"/>
    </row>
    <row r="10" spans="1:21" s="22" customFormat="1" x14ac:dyDescent="0.2">
      <c r="A10" s="17"/>
      <c r="B10" s="32" t="s">
        <v>20</v>
      </c>
      <c r="C10" s="38" t="s">
        <v>21</v>
      </c>
      <c r="D10" s="138"/>
      <c r="E10" s="34"/>
      <c r="F10" s="35"/>
      <c r="G10" s="37" t="s">
        <v>22</v>
      </c>
      <c r="H10" s="37"/>
      <c r="I10" s="37"/>
      <c r="J10" s="38"/>
      <c r="K10" s="38"/>
      <c r="L10" s="39"/>
      <c r="M10" s="38"/>
      <c r="N10" s="32"/>
      <c r="O10" s="40"/>
      <c r="P10" s="32"/>
      <c r="Q10" s="40"/>
      <c r="R10" s="41"/>
      <c r="S10" s="42">
        <f>SUM(S9:S9)</f>
        <v>8000000</v>
      </c>
      <c r="T10" s="159"/>
      <c r="U10" s="189">
        <f>S10+S36+S47+S57+S67+S79+S90+S101+S112+S123</f>
        <v>74924801.051348269</v>
      </c>
    </row>
    <row r="11" spans="1:21" s="21" customFormat="1" x14ac:dyDescent="0.2">
      <c r="A11" s="18"/>
      <c r="B11" s="7" t="s">
        <v>23</v>
      </c>
      <c r="C11" s="8"/>
      <c r="D11" s="139"/>
      <c r="E11" s="8"/>
      <c r="F11" s="8"/>
      <c r="G11" s="8" t="s">
        <v>24</v>
      </c>
      <c r="H11" s="8" t="s">
        <v>25</v>
      </c>
      <c r="I11" s="8" t="s">
        <v>26</v>
      </c>
      <c r="J11" s="14">
        <v>341</v>
      </c>
      <c r="K11" s="14" t="s">
        <v>27</v>
      </c>
      <c r="L11" s="43" t="s">
        <v>28</v>
      </c>
      <c r="M11" s="14" t="s">
        <v>29</v>
      </c>
      <c r="N11" s="44">
        <f>S9*1%</f>
        <v>80000</v>
      </c>
      <c r="O11" s="45">
        <v>0.1115</v>
      </c>
      <c r="P11" s="46">
        <f t="array" ref="P11">N11/(1-O11)</f>
        <v>90039.39223410243</v>
      </c>
      <c r="Q11" s="45">
        <v>6.1499999999999999E-2</v>
      </c>
      <c r="R11" s="47">
        <f>Q11*P11</f>
        <v>5537.4226223972992</v>
      </c>
      <c r="S11" s="46">
        <f>P11*(1-Q11)</f>
        <v>84501.969611705135</v>
      </c>
      <c r="T11" s="160" t="s">
        <v>74</v>
      </c>
      <c r="U11" s="190">
        <f>F9+F35+F46+F56+F66+F77+F78+F89+F99+F100+F111+F122</f>
        <v>75000</v>
      </c>
    </row>
    <row r="12" spans="1:21" s="21" customFormat="1" x14ac:dyDescent="0.2">
      <c r="A12" s="18"/>
      <c r="B12" s="48" t="s">
        <v>23</v>
      </c>
      <c r="C12" s="49"/>
      <c r="D12" s="138"/>
      <c r="E12" s="49"/>
      <c r="F12" s="49"/>
      <c r="G12" s="49" t="s">
        <v>30</v>
      </c>
      <c r="H12" s="49" t="s">
        <v>25</v>
      </c>
      <c r="I12" s="49" t="s">
        <v>26</v>
      </c>
      <c r="J12" s="50">
        <v>341</v>
      </c>
      <c r="K12" s="50" t="s">
        <v>27</v>
      </c>
      <c r="L12" s="51" t="s">
        <v>28</v>
      </c>
      <c r="M12" s="50" t="s">
        <v>29</v>
      </c>
      <c r="N12" s="52">
        <f>S10*1%</f>
        <v>80000</v>
      </c>
      <c r="O12" s="53">
        <v>0.1115</v>
      </c>
      <c r="P12" s="48">
        <f t="array" ref="P12">N12/(1-O12)</f>
        <v>90039.39223410243</v>
      </c>
      <c r="Q12" s="53">
        <v>6.1499999999999999E-2</v>
      </c>
      <c r="R12" s="54">
        <f t="array" ref="R12">Q12*P12</f>
        <v>5537.4226223972992</v>
      </c>
      <c r="S12" s="48">
        <f t="shared" ref="S12:S17" si="0">P12*(1-Q12)</f>
        <v>84501.969611705135</v>
      </c>
      <c r="T12" s="161" t="s">
        <v>74</v>
      </c>
    </row>
    <row r="13" spans="1:21" s="23" customFormat="1" x14ac:dyDescent="0.25">
      <c r="A13" s="18"/>
      <c r="B13" s="55" t="s">
        <v>23</v>
      </c>
      <c r="C13" s="56"/>
      <c r="D13" s="140"/>
      <c r="E13" s="57"/>
      <c r="F13" s="57"/>
      <c r="G13" s="56" t="s">
        <v>31</v>
      </c>
      <c r="H13" s="58" t="s">
        <v>63</v>
      </c>
      <c r="I13" s="58" t="s">
        <v>64</v>
      </c>
      <c r="J13" s="59">
        <v>341</v>
      </c>
      <c r="K13" s="59" t="s">
        <v>27</v>
      </c>
      <c r="L13" s="60" t="s">
        <v>65</v>
      </c>
      <c r="M13" s="59" t="s">
        <v>66</v>
      </c>
      <c r="N13" s="61">
        <v>100000</v>
      </c>
      <c r="O13" s="62">
        <v>0</v>
      </c>
      <c r="P13" s="61">
        <f>N13/(1-O13)</f>
        <v>100000</v>
      </c>
      <c r="Q13" s="62">
        <v>6.1499999999999999E-2</v>
      </c>
      <c r="R13" s="63">
        <f>+Q13*P13</f>
        <v>6150</v>
      </c>
      <c r="S13" s="64">
        <f t="shared" si="0"/>
        <v>93850</v>
      </c>
      <c r="T13" s="162"/>
    </row>
    <row r="14" spans="1:21" s="21" customFormat="1" x14ac:dyDescent="0.25">
      <c r="A14" s="18"/>
      <c r="B14" s="65" t="s">
        <v>23</v>
      </c>
      <c r="C14" s="66"/>
      <c r="D14" s="141"/>
      <c r="E14" s="68"/>
      <c r="F14" s="68"/>
      <c r="G14" s="66" t="s">
        <v>33</v>
      </c>
      <c r="H14" s="66" t="s">
        <v>59</v>
      </c>
      <c r="I14" s="66" t="s">
        <v>55</v>
      </c>
      <c r="J14" s="69">
        <v>237</v>
      </c>
      <c r="K14" s="69" t="s">
        <v>32</v>
      </c>
      <c r="L14" s="70" t="s">
        <v>60</v>
      </c>
      <c r="M14" s="69" t="s">
        <v>61</v>
      </c>
      <c r="N14" s="71">
        <v>33250</v>
      </c>
      <c r="O14" s="72">
        <v>9.6500000000000002E-2</v>
      </c>
      <c r="P14" s="71">
        <f>N14/(1-O14)</f>
        <v>36801.328168234642</v>
      </c>
      <c r="Q14" s="72">
        <v>0</v>
      </c>
      <c r="R14" s="73">
        <f>+Q14*P14</f>
        <v>0</v>
      </c>
      <c r="S14" s="71">
        <f t="shared" si="0"/>
        <v>36801.328168234642</v>
      </c>
      <c r="T14" s="163"/>
    </row>
    <row r="15" spans="1:21" s="21" customFormat="1" x14ac:dyDescent="0.25">
      <c r="A15" s="18"/>
      <c r="B15" s="65" t="s">
        <v>70</v>
      </c>
      <c r="C15" s="66"/>
      <c r="D15" s="141"/>
      <c r="E15" s="67"/>
      <c r="F15" s="68"/>
      <c r="G15" s="66" t="s">
        <v>34</v>
      </c>
      <c r="H15" s="66" t="s">
        <v>81</v>
      </c>
      <c r="I15" s="74" t="s">
        <v>82</v>
      </c>
      <c r="J15" s="75" t="s">
        <v>83</v>
      </c>
      <c r="K15" s="75" t="s">
        <v>84</v>
      </c>
      <c r="L15" s="76">
        <v>1959</v>
      </c>
      <c r="M15" s="75" t="s">
        <v>85</v>
      </c>
      <c r="N15" s="71">
        <v>4000</v>
      </c>
      <c r="O15" s="72">
        <v>0</v>
      </c>
      <c r="P15" s="71">
        <f>N15/(1-O15)</f>
        <v>4000</v>
      </c>
      <c r="Q15" s="72">
        <v>0</v>
      </c>
      <c r="R15" s="73">
        <f>+Q15*P15</f>
        <v>0</v>
      </c>
      <c r="S15" s="71">
        <f t="shared" si="0"/>
        <v>4000</v>
      </c>
      <c r="T15" s="163"/>
    </row>
    <row r="16" spans="1:21" s="21" customFormat="1" x14ac:dyDescent="0.25">
      <c r="A16" s="18"/>
      <c r="B16" s="65" t="s">
        <v>23</v>
      </c>
      <c r="C16" s="66"/>
      <c r="D16" s="141"/>
      <c r="E16" s="67"/>
      <c r="F16" s="68"/>
      <c r="G16" s="66" t="s">
        <v>71</v>
      </c>
      <c r="H16" s="66" t="s">
        <v>35</v>
      </c>
      <c r="I16" s="74" t="s">
        <v>36</v>
      </c>
      <c r="J16" s="75">
        <v>341</v>
      </c>
      <c r="K16" s="75" t="s">
        <v>27</v>
      </c>
      <c r="L16" s="76">
        <v>6630</v>
      </c>
      <c r="M16" s="75" t="s">
        <v>37</v>
      </c>
      <c r="N16" s="71">
        <f>60*10868</f>
        <v>652080</v>
      </c>
      <c r="O16" s="72">
        <v>0.1115</v>
      </c>
      <c r="P16" s="71">
        <f>N16/(1-O16)</f>
        <v>733911.08610016888</v>
      </c>
      <c r="Q16" s="72">
        <v>6.1499999999999999E-2</v>
      </c>
      <c r="R16" s="73">
        <f>Q16*P16</f>
        <v>45135.531795160387</v>
      </c>
      <c r="S16" s="71">
        <f t="shared" si="0"/>
        <v>688775.5543050085</v>
      </c>
      <c r="T16" s="163" t="s">
        <v>80</v>
      </c>
    </row>
    <row r="17" spans="1:20" s="21" customFormat="1" x14ac:dyDescent="0.25">
      <c r="A17" s="18"/>
      <c r="B17" s="65" t="s">
        <v>23</v>
      </c>
      <c r="C17" s="66"/>
      <c r="D17" s="141"/>
      <c r="E17" s="68"/>
      <c r="F17" s="68"/>
      <c r="G17" s="66" t="s">
        <v>72</v>
      </c>
      <c r="H17" s="66" t="s">
        <v>35</v>
      </c>
      <c r="I17" s="66" t="s">
        <v>36</v>
      </c>
      <c r="J17" s="69">
        <v>341</v>
      </c>
      <c r="K17" s="69" t="s">
        <v>27</v>
      </c>
      <c r="L17" s="70">
        <v>6630</v>
      </c>
      <c r="M17" s="69" t="s">
        <v>37</v>
      </c>
      <c r="N17" s="71">
        <f>13*12127</f>
        <v>157651</v>
      </c>
      <c r="O17" s="72">
        <v>0.1115</v>
      </c>
      <c r="P17" s="71">
        <f>N17/(1-O17)</f>
        <v>177435.00281373103</v>
      </c>
      <c r="Q17" s="72">
        <v>6.1499999999999999E-2</v>
      </c>
      <c r="R17" s="73">
        <f>Q17*P17</f>
        <v>10912.252673044459</v>
      </c>
      <c r="S17" s="71">
        <f t="shared" si="0"/>
        <v>166522.75014068658</v>
      </c>
      <c r="T17" s="163" t="s">
        <v>79</v>
      </c>
    </row>
    <row r="18" spans="1:20" s="21" customFormat="1" x14ac:dyDescent="0.25">
      <c r="A18" s="18"/>
      <c r="B18" s="65" t="s">
        <v>23</v>
      </c>
      <c r="C18" s="66"/>
      <c r="D18" s="141"/>
      <c r="E18" s="68"/>
      <c r="F18" s="68"/>
      <c r="G18" s="66" t="s">
        <v>38</v>
      </c>
      <c r="H18" s="66" t="s">
        <v>39</v>
      </c>
      <c r="I18" s="66" t="s">
        <v>40</v>
      </c>
      <c r="J18" s="69">
        <v>341</v>
      </c>
      <c r="K18" s="69" t="s">
        <v>27</v>
      </c>
      <c r="L18" s="70" t="s">
        <v>41</v>
      </c>
      <c r="M18" s="69" t="s">
        <v>68</v>
      </c>
      <c r="N18" s="71">
        <v>12000</v>
      </c>
      <c r="O18" s="72">
        <v>0.1633</v>
      </c>
      <c r="P18" s="71">
        <f t="array" ref="P18">N18/(1-O18)</f>
        <v>14342.058085335246</v>
      </c>
      <c r="Q18" s="72">
        <v>1.4999999999999999E-2</v>
      </c>
      <c r="R18" s="73">
        <f t="shared" ref="R18:R24" si="1">+Q18*P18</f>
        <v>215.13087128002869</v>
      </c>
      <c r="S18" s="71">
        <f>P18*(1-Q18)</f>
        <v>14126.927214055217</v>
      </c>
      <c r="T18" s="163" t="s">
        <v>62</v>
      </c>
    </row>
    <row r="19" spans="1:20" s="21" customFormat="1" x14ac:dyDescent="0.25">
      <c r="A19" s="18"/>
      <c r="B19" s="65" t="s">
        <v>23</v>
      </c>
      <c r="C19" s="66"/>
      <c r="D19" s="141"/>
      <c r="E19" s="68"/>
      <c r="F19" s="68"/>
      <c r="G19" s="66" t="s">
        <v>42</v>
      </c>
      <c r="H19" s="66" t="s">
        <v>39</v>
      </c>
      <c r="I19" s="66" t="s">
        <v>40</v>
      </c>
      <c r="J19" s="69">
        <v>341</v>
      </c>
      <c r="K19" s="69" t="s">
        <v>27</v>
      </c>
      <c r="L19" s="70" t="s">
        <v>41</v>
      </c>
      <c r="M19" s="69" t="s">
        <v>68</v>
      </c>
      <c r="N19" s="71">
        <v>3000</v>
      </c>
      <c r="O19" s="72">
        <v>0.1633</v>
      </c>
      <c r="P19" s="71">
        <f t="array" ref="P19">N19/(1-O19)</f>
        <v>3585.5145213338114</v>
      </c>
      <c r="Q19" s="72">
        <v>1.4999999999999999E-2</v>
      </c>
      <c r="R19" s="73">
        <f t="shared" si="1"/>
        <v>53.782717820007171</v>
      </c>
      <c r="S19" s="71">
        <f>P19*(1-Q19)</f>
        <v>3531.7318035138042</v>
      </c>
      <c r="T19" s="163" t="s">
        <v>62</v>
      </c>
    </row>
    <row r="20" spans="1:20" s="21" customFormat="1" x14ac:dyDescent="0.25">
      <c r="A20" s="18"/>
      <c r="B20" s="77" t="s">
        <v>23</v>
      </c>
      <c r="C20" s="78"/>
      <c r="D20" s="142"/>
      <c r="E20" s="79"/>
      <c r="F20" s="79"/>
      <c r="G20" s="78" t="s">
        <v>43</v>
      </c>
      <c r="H20" s="78" t="s">
        <v>39</v>
      </c>
      <c r="I20" s="78" t="s">
        <v>40</v>
      </c>
      <c r="J20" s="77">
        <v>341</v>
      </c>
      <c r="K20" s="77" t="s">
        <v>27</v>
      </c>
      <c r="L20" s="80" t="s">
        <v>41</v>
      </c>
      <c r="M20" s="77" t="s">
        <v>68</v>
      </c>
      <c r="N20" s="81">
        <v>242540</v>
      </c>
      <c r="O20" s="82">
        <v>0.1633</v>
      </c>
      <c r="P20" s="81">
        <f t="array" ref="P20">N20/(1-O20)</f>
        <v>289876.89733476756</v>
      </c>
      <c r="Q20" s="82">
        <v>1.4999999999999999E-2</v>
      </c>
      <c r="R20" s="83">
        <f t="shared" si="1"/>
        <v>4348.1534600215136</v>
      </c>
      <c r="S20" s="81">
        <f>P20*(1-Q20)</f>
        <v>285528.74387474603</v>
      </c>
      <c r="T20" s="164" t="s">
        <v>62</v>
      </c>
    </row>
    <row r="21" spans="1:20" s="21" customFormat="1" x14ac:dyDescent="0.25">
      <c r="A21" s="18"/>
      <c r="B21" s="84" t="s">
        <v>44</v>
      </c>
      <c r="C21" s="85"/>
      <c r="D21" s="143"/>
      <c r="E21" s="85"/>
      <c r="F21" s="85"/>
      <c r="G21" s="86" t="s">
        <v>45</v>
      </c>
      <c r="H21" s="86" t="s">
        <v>46</v>
      </c>
      <c r="I21" s="86" t="s">
        <v>47</v>
      </c>
      <c r="J21" s="217"/>
      <c r="K21" s="217"/>
      <c r="L21" s="217"/>
      <c r="M21" s="217"/>
      <c r="N21" s="87"/>
      <c r="O21" s="88"/>
      <c r="P21" s="87"/>
      <c r="Q21" s="88"/>
      <c r="R21" s="89">
        <f t="shared" si="1"/>
        <v>0</v>
      </c>
      <c r="S21" s="87">
        <v>44150</v>
      </c>
      <c r="T21" s="165" t="s">
        <v>78</v>
      </c>
    </row>
    <row r="22" spans="1:20" s="21" customFormat="1" x14ac:dyDescent="0.25">
      <c r="A22" s="18"/>
      <c r="B22" s="90" t="s">
        <v>44</v>
      </c>
      <c r="C22" s="91"/>
      <c r="D22" s="144"/>
      <c r="E22" s="91"/>
      <c r="F22" s="91"/>
      <c r="G22" s="92" t="s">
        <v>48</v>
      </c>
      <c r="H22" s="92" t="s">
        <v>46</v>
      </c>
      <c r="I22" s="92" t="s">
        <v>47</v>
      </c>
      <c r="J22" s="218"/>
      <c r="K22" s="218"/>
      <c r="L22" s="218"/>
      <c r="M22" s="218"/>
      <c r="N22" s="93"/>
      <c r="O22" s="94"/>
      <c r="P22" s="93"/>
      <c r="Q22" s="94"/>
      <c r="R22" s="95">
        <f t="shared" si="1"/>
        <v>0</v>
      </c>
      <c r="S22" s="93">
        <v>4147</v>
      </c>
      <c r="T22" s="166" t="s">
        <v>78</v>
      </c>
    </row>
    <row r="23" spans="1:20" s="21" customFormat="1" x14ac:dyDescent="0.25">
      <c r="A23" s="18"/>
      <c r="B23" s="90" t="s">
        <v>44</v>
      </c>
      <c r="C23" s="91"/>
      <c r="D23" s="144"/>
      <c r="E23" s="91"/>
      <c r="F23" s="91"/>
      <c r="G23" s="92" t="s">
        <v>49</v>
      </c>
      <c r="H23" s="92" t="s">
        <v>46</v>
      </c>
      <c r="I23" s="92" t="s">
        <v>47</v>
      </c>
      <c r="J23" s="218"/>
      <c r="K23" s="218"/>
      <c r="L23" s="218"/>
      <c r="M23" s="218"/>
      <c r="N23" s="93"/>
      <c r="O23" s="94"/>
      <c r="P23" s="93"/>
      <c r="Q23" s="94"/>
      <c r="R23" s="95">
        <f t="shared" si="1"/>
        <v>0</v>
      </c>
      <c r="S23" s="93">
        <v>141481.01</v>
      </c>
      <c r="T23" s="166" t="s">
        <v>78</v>
      </c>
    </row>
    <row r="24" spans="1:20" s="21" customFormat="1" x14ac:dyDescent="0.25">
      <c r="A24" s="18"/>
      <c r="B24" s="90" t="s">
        <v>44</v>
      </c>
      <c r="C24" s="91"/>
      <c r="D24" s="144"/>
      <c r="E24" s="91"/>
      <c r="F24" s="91"/>
      <c r="G24" s="92" t="s">
        <v>50</v>
      </c>
      <c r="H24" s="92" t="s">
        <v>46</v>
      </c>
      <c r="I24" s="92" t="s">
        <v>47</v>
      </c>
      <c r="J24" s="218"/>
      <c r="K24" s="218"/>
      <c r="L24" s="218"/>
      <c r="M24" s="218"/>
      <c r="N24" s="93"/>
      <c r="O24" s="94"/>
      <c r="P24" s="93"/>
      <c r="Q24" s="94"/>
      <c r="R24" s="95">
        <f t="shared" si="1"/>
        <v>0</v>
      </c>
      <c r="S24" s="93">
        <v>2776</v>
      </c>
      <c r="T24" s="166"/>
    </row>
    <row r="25" spans="1:20" s="21" customFormat="1" x14ac:dyDescent="0.25">
      <c r="A25" s="18"/>
      <c r="B25" s="90" t="s">
        <v>44</v>
      </c>
      <c r="C25" s="91"/>
      <c r="D25" s="144"/>
      <c r="E25" s="91"/>
      <c r="F25" s="91"/>
      <c r="G25" s="92" t="s">
        <v>69</v>
      </c>
      <c r="H25" s="92"/>
      <c r="I25" s="92"/>
      <c r="J25" s="218"/>
      <c r="K25" s="218"/>
      <c r="L25" s="218"/>
      <c r="M25" s="218"/>
      <c r="N25" s="93"/>
      <c r="O25" s="94"/>
      <c r="P25" s="93"/>
      <c r="Q25" s="94"/>
      <c r="R25" s="95"/>
      <c r="S25" s="93">
        <v>25000</v>
      </c>
      <c r="T25" s="166"/>
    </row>
    <row r="26" spans="1:20" s="21" customFormat="1" x14ac:dyDescent="0.25">
      <c r="A26" s="14"/>
      <c r="B26" s="46"/>
      <c r="C26" s="96"/>
      <c r="D26" s="136"/>
      <c r="E26" s="96"/>
      <c r="F26" s="96"/>
      <c r="G26" s="97" t="s">
        <v>51</v>
      </c>
      <c r="H26" s="97"/>
      <c r="I26" s="97"/>
      <c r="J26" s="214"/>
      <c r="K26" s="214"/>
      <c r="L26" s="214"/>
      <c r="M26" s="214"/>
      <c r="N26" s="98"/>
      <c r="O26" s="99"/>
      <c r="P26" s="98"/>
      <c r="Q26" s="99"/>
      <c r="R26" s="100"/>
      <c r="S26" s="98">
        <f>SUM(S27:S31)</f>
        <v>77889.696762120991</v>
      </c>
      <c r="T26" s="167"/>
    </row>
    <row r="27" spans="1:20" s="21" customFormat="1" x14ac:dyDescent="0.2">
      <c r="A27" s="7"/>
      <c r="B27" s="50" t="s">
        <v>52</v>
      </c>
      <c r="C27" s="49"/>
      <c r="D27" s="145"/>
      <c r="E27" s="49"/>
      <c r="F27" s="49"/>
      <c r="G27" s="101" t="s">
        <v>53</v>
      </c>
      <c r="H27" s="49" t="s">
        <v>25</v>
      </c>
      <c r="I27" s="49" t="s">
        <v>26</v>
      </c>
      <c r="J27" s="213"/>
      <c r="K27" s="213"/>
      <c r="L27" s="213"/>
      <c r="M27" s="213"/>
      <c r="N27" s="48"/>
      <c r="O27" s="53"/>
      <c r="P27" s="102"/>
      <c r="Q27" s="53"/>
      <c r="R27" s="54"/>
      <c r="S27" s="48">
        <f>SUMIF($I$11:$I$25,I27,$R$11:$R$25)</f>
        <v>11074.845244794598</v>
      </c>
      <c r="T27" s="168"/>
    </row>
    <row r="28" spans="1:20" s="21" customFormat="1" x14ac:dyDescent="0.2">
      <c r="A28" s="20"/>
      <c r="B28" s="20" t="s">
        <v>52</v>
      </c>
      <c r="C28" s="103"/>
      <c r="D28" s="146"/>
      <c r="E28" s="103"/>
      <c r="F28" s="103"/>
      <c r="G28" s="104" t="s">
        <v>67</v>
      </c>
      <c r="H28" s="105" t="s">
        <v>63</v>
      </c>
      <c r="I28" s="105" t="s">
        <v>64</v>
      </c>
      <c r="J28" s="20"/>
      <c r="K28" s="20"/>
      <c r="L28" s="106"/>
      <c r="M28" s="106"/>
      <c r="N28" s="107"/>
      <c r="O28" s="108"/>
      <c r="P28" s="109"/>
      <c r="Q28" s="108"/>
      <c r="R28" s="110"/>
      <c r="S28" s="107">
        <f>SUMIF($I$11:$I$25,I28,$R$11:$R$25)</f>
        <v>6150</v>
      </c>
      <c r="T28" s="169"/>
    </row>
    <row r="29" spans="1:20" s="21" customFormat="1" x14ac:dyDescent="0.25">
      <c r="A29" s="7"/>
      <c r="B29" s="50" t="s">
        <v>52</v>
      </c>
      <c r="C29" s="49"/>
      <c r="D29" s="145"/>
      <c r="E29" s="49"/>
      <c r="F29" s="49"/>
      <c r="G29" s="101" t="s">
        <v>54</v>
      </c>
      <c r="H29" s="49" t="s">
        <v>59</v>
      </c>
      <c r="I29" s="49" t="s">
        <v>55</v>
      </c>
      <c r="J29" s="221"/>
      <c r="K29" s="221"/>
      <c r="L29" s="221"/>
      <c r="M29" s="221"/>
      <c r="N29" s="48"/>
      <c r="O29" s="53"/>
      <c r="P29" s="48"/>
      <c r="Q29" s="53"/>
      <c r="R29" s="54"/>
      <c r="S29" s="48">
        <f>SUMIF($I$11:$I$25,I29,$R$11:$R$25)</f>
        <v>0</v>
      </c>
      <c r="T29" s="168"/>
    </row>
    <row r="30" spans="1:20" s="21" customFormat="1" x14ac:dyDescent="0.2">
      <c r="A30" s="14"/>
      <c r="B30" s="14" t="s">
        <v>52</v>
      </c>
      <c r="C30" s="8"/>
      <c r="D30" s="147"/>
      <c r="E30" s="8"/>
      <c r="F30" s="8"/>
      <c r="G30" s="112" t="s">
        <v>56</v>
      </c>
      <c r="H30" s="8" t="s">
        <v>35</v>
      </c>
      <c r="I30" s="8" t="s">
        <v>36</v>
      </c>
      <c r="J30" s="222"/>
      <c r="K30" s="222"/>
      <c r="L30" s="222"/>
      <c r="M30" s="222"/>
      <c r="N30" s="46"/>
      <c r="O30" s="45"/>
      <c r="P30" s="113"/>
      <c r="Q30" s="45"/>
      <c r="R30" s="47"/>
      <c r="S30" s="46">
        <f>SUMIF($I$11:$I$25,I30,$R$11:$R$25)</f>
        <v>56047.784468204845</v>
      </c>
      <c r="T30" s="170"/>
    </row>
    <row r="31" spans="1:20" s="21" customFormat="1" x14ac:dyDescent="0.25">
      <c r="A31" s="7"/>
      <c r="B31" s="50" t="s">
        <v>52</v>
      </c>
      <c r="C31" s="49"/>
      <c r="D31" s="145"/>
      <c r="E31" s="49"/>
      <c r="F31" s="49"/>
      <c r="G31" s="101" t="s">
        <v>57</v>
      </c>
      <c r="H31" s="49" t="s">
        <v>39</v>
      </c>
      <c r="I31" s="49" t="s">
        <v>40</v>
      </c>
      <c r="J31" s="221"/>
      <c r="K31" s="221"/>
      <c r="L31" s="221"/>
      <c r="M31" s="221"/>
      <c r="N31" s="48"/>
      <c r="O31" s="53"/>
      <c r="P31" s="48"/>
      <c r="Q31" s="53"/>
      <c r="R31" s="54"/>
      <c r="S31" s="48">
        <f>SUMIF($I$11:$I$25,I31,$R$11:$R$25)</f>
        <v>4617.0670491215496</v>
      </c>
      <c r="T31" s="168"/>
    </row>
    <row r="32" spans="1:20" s="21" customFormat="1" x14ac:dyDescent="0.25">
      <c r="A32" s="18"/>
      <c r="B32" s="48" t="s">
        <v>23</v>
      </c>
      <c r="C32" s="49"/>
      <c r="D32" s="145"/>
      <c r="E32" s="49"/>
      <c r="F32" s="49"/>
      <c r="G32" s="49" t="s">
        <v>73</v>
      </c>
      <c r="H32" s="49" t="s">
        <v>75</v>
      </c>
      <c r="I32" s="49" t="s">
        <v>76</v>
      </c>
      <c r="J32" s="51">
        <v>237</v>
      </c>
      <c r="K32" s="50" t="s">
        <v>32</v>
      </c>
      <c r="L32" s="51">
        <v>3684</v>
      </c>
      <c r="M32" s="51" t="s">
        <v>77</v>
      </c>
      <c r="N32" s="52"/>
      <c r="O32" s="53"/>
      <c r="P32" s="48"/>
      <c r="Q32" s="53"/>
      <c r="R32" s="54"/>
      <c r="S32" s="48">
        <v>6242415.3185082236</v>
      </c>
      <c r="T32" s="161" t="s">
        <v>94</v>
      </c>
    </row>
    <row r="33" spans="1:20" s="24" customFormat="1" x14ac:dyDescent="0.25">
      <c r="A33" s="19"/>
      <c r="B33" s="114" t="s">
        <v>96</v>
      </c>
      <c r="C33" s="115"/>
      <c r="D33" s="145"/>
      <c r="E33" s="115"/>
      <c r="F33" s="115"/>
      <c r="G33" s="117"/>
      <c r="H33" s="117"/>
      <c r="I33" s="117"/>
      <c r="J33" s="116"/>
      <c r="K33" s="116"/>
      <c r="L33" s="118"/>
      <c r="M33" s="118"/>
      <c r="N33" s="116"/>
      <c r="O33" s="116"/>
      <c r="P33" s="116"/>
      <c r="Q33" s="116"/>
      <c r="R33" s="54"/>
      <c r="S33" s="119">
        <f>S10-SUM(S11:S26,S32:S32)</f>
        <v>0</v>
      </c>
      <c r="T33" s="168"/>
    </row>
    <row r="34" spans="1:20" x14ac:dyDescent="0.2">
      <c r="B34" s="120"/>
      <c r="C34" s="121"/>
      <c r="D34" s="148"/>
      <c r="E34" s="121"/>
      <c r="F34" s="121"/>
      <c r="G34" s="123"/>
      <c r="H34" s="123"/>
      <c r="I34" s="123"/>
      <c r="J34" s="122"/>
      <c r="K34" s="122"/>
      <c r="L34" s="124"/>
      <c r="M34" s="124"/>
      <c r="N34" s="122"/>
      <c r="O34" s="122"/>
      <c r="P34" s="122"/>
      <c r="Q34" s="122"/>
      <c r="R34" s="125"/>
      <c r="S34" s="126"/>
      <c r="T34" s="171"/>
    </row>
    <row r="35" spans="1:20" x14ac:dyDescent="0.2">
      <c r="B35" s="102" t="s">
        <v>20</v>
      </c>
      <c r="C35" s="196">
        <v>335</v>
      </c>
      <c r="D35" s="199">
        <v>43812</v>
      </c>
      <c r="E35" s="200">
        <v>1000</v>
      </c>
      <c r="F35" s="201">
        <v>19500</v>
      </c>
      <c r="G35" s="49" t="s">
        <v>20</v>
      </c>
      <c r="H35" s="149"/>
      <c r="I35" s="149"/>
      <c r="J35" s="150"/>
      <c r="K35" s="150"/>
      <c r="L35" s="151"/>
      <c r="M35" s="150"/>
      <c r="N35" s="102"/>
      <c r="O35" s="152"/>
      <c r="P35" s="102"/>
      <c r="Q35" s="152"/>
      <c r="R35" s="153"/>
      <c r="S35" s="154">
        <f>E35*F35</f>
        <v>19500000</v>
      </c>
      <c r="T35" s="159"/>
    </row>
    <row r="36" spans="1:20" x14ac:dyDescent="0.2">
      <c r="B36" s="32" t="s">
        <v>20</v>
      </c>
      <c r="C36" s="38" t="s">
        <v>21</v>
      </c>
      <c r="D36" s="138"/>
      <c r="E36" s="34"/>
      <c r="F36" s="35"/>
      <c r="G36" s="37" t="s">
        <v>22</v>
      </c>
      <c r="H36" s="37"/>
      <c r="I36" s="37"/>
      <c r="J36" s="38"/>
      <c r="K36" s="38"/>
      <c r="L36" s="39"/>
      <c r="M36" s="38"/>
      <c r="N36" s="32"/>
      <c r="O36" s="40"/>
      <c r="P36" s="32"/>
      <c r="Q36" s="40"/>
      <c r="R36" s="41"/>
      <c r="S36" s="42">
        <f>SUM(S35:S35)</f>
        <v>19500000</v>
      </c>
      <c r="T36" s="159"/>
    </row>
    <row r="37" spans="1:20" x14ac:dyDescent="0.2">
      <c r="B37" s="7" t="s">
        <v>23</v>
      </c>
      <c r="C37" s="8"/>
      <c r="D37" s="139"/>
      <c r="E37" s="8"/>
      <c r="F37" s="8"/>
      <c r="G37" s="8" t="s">
        <v>24</v>
      </c>
      <c r="H37" s="8" t="s">
        <v>25</v>
      </c>
      <c r="I37" s="8" t="s">
        <v>26</v>
      </c>
      <c r="J37" s="14">
        <v>341</v>
      </c>
      <c r="K37" s="14" t="s">
        <v>27</v>
      </c>
      <c r="L37" s="43" t="s">
        <v>28</v>
      </c>
      <c r="M37" s="14" t="s">
        <v>29</v>
      </c>
      <c r="N37" s="44">
        <f>S35*1%</f>
        <v>195000</v>
      </c>
      <c r="O37" s="45">
        <v>0.1115</v>
      </c>
      <c r="P37" s="46">
        <f t="array" ref="P37">N37/(1-O37)</f>
        <v>219471.01857062467</v>
      </c>
      <c r="Q37" s="45">
        <v>6.1499999999999999E-2</v>
      </c>
      <c r="R37" s="47">
        <f>Q37*P37</f>
        <v>13497.467642093417</v>
      </c>
      <c r="S37" s="46">
        <f>P37*(1-Q37)</f>
        <v>205973.55092853124</v>
      </c>
      <c r="T37" s="160" t="s">
        <v>74</v>
      </c>
    </row>
    <row r="38" spans="1:20" x14ac:dyDescent="0.2">
      <c r="B38" s="48" t="s">
        <v>23</v>
      </c>
      <c r="C38" s="49"/>
      <c r="D38" s="138"/>
      <c r="E38" s="49"/>
      <c r="F38" s="49"/>
      <c r="G38" s="49" t="s">
        <v>30</v>
      </c>
      <c r="H38" s="49" t="s">
        <v>25</v>
      </c>
      <c r="I38" s="49" t="s">
        <v>26</v>
      </c>
      <c r="J38" s="50">
        <v>341</v>
      </c>
      <c r="K38" s="50" t="s">
        <v>27</v>
      </c>
      <c r="L38" s="51" t="s">
        <v>28</v>
      </c>
      <c r="M38" s="50" t="s">
        <v>29</v>
      </c>
      <c r="N38" s="52">
        <f>S36*1%</f>
        <v>195000</v>
      </c>
      <c r="O38" s="53">
        <v>0.1115</v>
      </c>
      <c r="P38" s="48">
        <f t="array" ref="P38">N38/(1-O38)</f>
        <v>219471.01857062467</v>
      </c>
      <c r="Q38" s="53">
        <v>6.1499999999999999E-2</v>
      </c>
      <c r="R38" s="54">
        <f t="array" ref="R38">Q38*P38</f>
        <v>13497.467642093417</v>
      </c>
      <c r="S38" s="48">
        <f t="shared" ref="S38" si="2">P38*(1-Q38)</f>
        <v>205973.55092853124</v>
      </c>
      <c r="T38" s="161" t="s">
        <v>74</v>
      </c>
    </row>
    <row r="39" spans="1:20" x14ac:dyDescent="0.2">
      <c r="B39" s="46"/>
      <c r="C39" s="96"/>
      <c r="D39" s="136"/>
      <c r="E39" s="96"/>
      <c r="F39" s="96"/>
      <c r="G39" s="97" t="s">
        <v>51</v>
      </c>
      <c r="H39" s="97"/>
      <c r="I39" s="97"/>
      <c r="J39" s="214"/>
      <c r="K39" s="214"/>
      <c r="L39" s="214"/>
      <c r="M39" s="214"/>
      <c r="N39" s="98"/>
      <c r="O39" s="99"/>
      <c r="P39" s="98"/>
      <c r="Q39" s="99"/>
      <c r="R39" s="100"/>
      <c r="S39" s="98">
        <f>SUM(S40:S40)</f>
        <v>26994.935284186835</v>
      </c>
      <c r="T39" s="167"/>
    </row>
    <row r="40" spans="1:20" x14ac:dyDescent="0.2">
      <c r="B40" s="50" t="s">
        <v>52</v>
      </c>
      <c r="C40" s="49"/>
      <c r="D40" s="145"/>
      <c r="E40" s="49"/>
      <c r="F40" s="49"/>
      <c r="G40" s="101" t="s">
        <v>53</v>
      </c>
      <c r="H40" s="49" t="s">
        <v>25</v>
      </c>
      <c r="I40" s="49" t="s">
        <v>26</v>
      </c>
      <c r="J40" s="213"/>
      <c r="K40" s="213"/>
      <c r="L40" s="213"/>
      <c r="M40" s="213"/>
      <c r="N40" s="48"/>
      <c r="O40" s="53"/>
      <c r="P40" s="102"/>
      <c r="Q40" s="53"/>
      <c r="R40" s="54"/>
      <c r="S40" s="48">
        <f>SUM(R37:R38)</f>
        <v>26994.935284186835</v>
      </c>
      <c r="T40" s="168"/>
    </row>
    <row r="41" spans="1:20" x14ac:dyDescent="0.2">
      <c r="B41" s="48" t="s">
        <v>23</v>
      </c>
      <c r="C41" s="49"/>
      <c r="D41" s="145"/>
      <c r="E41" s="49"/>
      <c r="F41" s="49"/>
      <c r="G41" s="49" t="s">
        <v>88</v>
      </c>
      <c r="H41" s="49" t="s">
        <v>46</v>
      </c>
      <c r="I41" s="49" t="s">
        <v>47</v>
      </c>
      <c r="J41" s="51">
        <v>237</v>
      </c>
      <c r="K41" s="50" t="s">
        <v>32</v>
      </c>
      <c r="L41" s="51">
        <v>3391</v>
      </c>
      <c r="M41" s="51" t="s">
        <v>87</v>
      </c>
      <c r="N41" s="48"/>
      <c r="O41" s="53"/>
      <c r="P41" s="102"/>
      <c r="Q41" s="53"/>
      <c r="R41" s="54"/>
      <c r="S41" s="48">
        <f>265424.51+669501.9</f>
        <v>934926.41</v>
      </c>
      <c r="T41" s="168" t="s">
        <v>92</v>
      </c>
    </row>
    <row r="42" spans="1:20" s="28" customFormat="1" x14ac:dyDescent="0.2">
      <c r="A42" s="27"/>
      <c r="B42" s="107" t="s">
        <v>23</v>
      </c>
      <c r="C42" s="103"/>
      <c r="D42" s="146"/>
      <c r="E42" s="103"/>
      <c r="F42" s="103"/>
      <c r="G42" s="103" t="s">
        <v>73</v>
      </c>
      <c r="H42" s="103" t="s">
        <v>75</v>
      </c>
      <c r="I42" s="103" t="s">
        <v>76</v>
      </c>
      <c r="J42" s="106">
        <v>237</v>
      </c>
      <c r="K42" s="20" t="s">
        <v>32</v>
      </c>
      <c r="L42" s="106">
        <v>3684</v>
      </c>
      <c r="M42" s="106" t="s">
        <v>77</v>
      </c>
      <c r="N42" s="127"/>
      <c r="O42" s="108"/>
      <c r="P42" s="107"/>
      <c r="Q42" s="108"/>
      <c r="R42" s="110"/>
      <c r="S42" s="107">
        <f>10000000-S32</f>
        <v>3757584.6814917764</v>
      </c>
      <c r="T42" s="132" t="s">
        <v>94</v>
      </c>
    </row>
    <row r="43" spans="1:20" s="21" customFormat="1" x14ac:dyDescent="0.25">
      <c r="A43" s="18"/>
      <c r="B43" s="48" t="s">
        <v>23</v>
      </c>
      <c r="C43" s="49"/>
      <c r="D43" s="145"/>
      <c r="E43" s="49"/>
      <c r="F43" s="49"/>
      <c r="G43" s="49" t="s">
        <v>86</v>
      </c>
      <c r="H43" s="49" t="s">
        <v>46</v>
      </c>
      <c r="I43" s="49" t="s">
        <v>47</v>
      </c>
      <c r="J43" s="51">
        <v>237</v>
      </c>
      <c r="K43" s="50" t="s">
        <v>32</v>
      </c>
      <c r="L43" s="51">
        <v>3391</v>
      </c>
      <c r="M43" s="51" t="s">
        <v>87</v>
      </c>
      <c r="N43" s="52"/>
      <c r="O43" s="53"/>
      <c r="P43" s="48"/>
      <c r="Q43" s="53"/>
      <c r="R43" s="54"/>
      <c r="S43" s="48">
        <f>S36-SUM(S37:S39,S41:S42)</f>
        <v>14368546.871366974</v>
      </c>
      <c r="T43" s="161" t="s">
        <v>93</v>
      </c>
    </row>
    <row r="44" spans="1:20" x14ac:dyDescent="0.2">
      <c r="B44" s="114" t="s">
        <v>96</v>
      </c>
      <c r="C44" s="115"/>
      <c r="D44" s="145"/>
      <c r="E44" s="115"/>
      <c r="F44" s="115"/>
      <c r="G44" s="117"/>
      <c r="H44" s="117"/>
      <c r="I44" s="117"/>
      <c r="J44" s="116"/>
      <c r="K44" s="116"/>
      <c r="L44" s="118"/>
      <c r="M44" s="118"/>
      <c r="N44" s="116"/>
      <c r="O44" s="116"/>
      <c r="P44" s="116"/>
      <c r="Q44" s="116"/>
      <c r="R44" s="54"/>
      <c r="S44" s="119">
        <f>S36-SUM(S37:S39,S41:S43)</f>
        <v>0</v>
      </c>
      <c r="T44" s="168"/>
    </row>
    <row r="45" spans="1:20" x14ac:dyDescent="0.2">
      <c r="B45" s="120"/>
      <c r="C45" s="121"/>
      <c r="D45" s="148"/>
      <c r="E45" s="121"/>
      <c r="F45" s="121"/>
      <c r="G45" s="123"/>
      <c r="H45" s="123"/>
      <c r="I45" s="123"/>
      <c r="J45" s="122"/>
      <c r="K45" s="122"/>
      <c r="L45" s="124"/>
      <c r="M45" s="124"/>
      <c r="N45" s="122"/>
      <c r="O45" s="122"/>
      <c r="P45" s="122"/>
      <c r="Q45" s="122"/>
      <c r="R45" s="125"/>
      <c r="S45" s="126"/>
      <c r="T45" s="171"/>
    </row>
    <row r="46" spans="1:20" x14ac:dyDescent="0.2">
      <c r="B46" s="102" t="s">
        <v>20</v>
      </c>
      <c r="C46" s="196">
        <v>336</v>
      </c>
      <c r="D46" s="199">
        <v>43817</v>
      </c>
      <c r="E46" s="200">
        <v>1004.59362859</v>
      </c>
      <c r="F46" s="201">
        <v>2000</v>
      </c>
      <c r="G46" s="49" t="s">
        <v>20</v>
      </c>
      <c r="H46" s="149"/>
      <c r="I46" s="149"/>
      <c r="J46" s="150"/>
      <c r="K46" s="150"/>
      <c r="L46" s="151"/>
      <c r="M46" s="150"/>
      <c r="N46" s="102"/>
      <c r="O46" s="152"/>
      <c r="P46" s="102"/>
      <c r="Q46" s="152"/>
      <c r="R46" s="153"/>
      <c r="S46" s="154">
        <f>E46*F46</f>
        <v>2009187.25718</v>
      </c>
      <c r="T46" s="159"/>
    </row>
    <row r="47" spans="1:20" x14ac:dyDescent="0.2">
      <c r="B47" s="32" t="s">
        <v>20</v>
      </c>
      <c r="C47" s="38" t="s">
        <v>21</v>
      </c>
      <c r="D47" s="138"/>
      <c r="E47" s="34"/>
      <c r="F47" s="35"/>
      <c r="G47" s="37" t="s">
        <v>22</v>
      </c>
      <c r="H47" s="37"/>
      <c r="I47" s="37"/>
      <c r="J47" s="38"/>
      <c r="K47" s="38"/>
      <c r="L47" s="39"/>
      <c r="M47" s="38"/>
      <c r="N47" s="32"/>
      <c r="O47" s="40"/>
      <c r="P47" s="32"/>
      <c r="Q47" s="40"/>
      <c r="R47" s="41"/>
      <c r="S47" s="42">
        <f>SUM(S46:S46)</f>
        <v>2009187.25718</v>
      </c>
      <c r="T47" s="159"/>
    </row>
    <row r="48" spans="1:20" x14ac:dyDescent="0.2">
      <c r="B48" s="7" t="s">
        <v>23</v>
      </c>
      <c r="C48" s="8"/>
      <c r="D48" s="139"/>
      <c r="E48" s="8"/>
      <c r="F48" s="8"/>
      <c r="G48" s="8" t="s">
        <v>24</v>
      </c>
      <c r="H48" s="8" t="s">
        <v>25</v>
      </c>
      <c r="I48" s="8" t="s">
        <v>26</v>
      </c>
      <c r="J48" s="14">
        <v>341</v>
      </c>
      <c r="K48" s="14" t="s">
        <v>27</v>
      </c>
      <c r="L48" s="43" t="s">
        <v>28</v>
      </c>
      <c r="M48" s="14" t="s">
        <v>29</v>
      </c>
      <c r="N48" s="44">
        <f>S46*1%</f>
        <v>20091.872571799999</v>
      </c>
      <c r="O48" s="45">
        <v>0.1115</v>
      </c>
      <c r="P48" s="46">
        <f t="array" ref="P48">N48/(1-O48)</f>
        <v>22613.249940123806</v>
      </c>
      <c r="Q48" s="45">
        <v>6.1499999999999999E-2</v>
      </c>
      <c r="R48" s="47">
        <f>Q48*P48</f>
        <v>1390.7148713176141</v>
      </c>
      <c r="S48" s="46">
        <f>P48*(1-Q48)</f>
        <v>21222.535068806192</v>
      </c>
      <c r="T48" s="160" t="s">
        <v>74</v>
      </c>
    </row>
    <row r="49" spans="2:20" x14ac:dyDescent="0.2">
      <c r="B49" s="48" t="s">
        <v>23</v>
      </c>
      <c r="C49" s="49"/>
      <c r="D49" s="138"/>
      <c r="E49" s="49"/>
      <c r="F49" s="49"/>
      <c r="G49" s="49" t="s">
        <v>30</v>
      </c>
      <c r="H49" s="49" t="s">
        <v>25</v>
      </c>
      <c r="I49" s="49" t="s">
        <v>26</v>
      </c>
      <c r="J49" s="50">
        <v>341</v>
      </c>
      <c r="K49" s="50" t="s">
        <v>27</v>
      </c>
      <c r="L49" s="51" t="s">
        <v>28</v>
      </c>
      <c r="M49" s="50" t="s">
        <v>29</v>
      </c>
      <c r="N49" s="52">
        <f>S47*1%</f>
        <v>20091.872571799999</v>
      </c>
      <c r="O49" s="53">
        <v>0.1115</v>
      </c>
      <c r="P49" s="48">
        <f t="array" ref="P49">N49/(1-O49)</f>
        <v>22613.249940123806</v>
      </c>
      <c r="Q49" s="53">
        <v>6.1499999999999999E-2</v>
      </c>
      <c r="R49" s="54">
        <f t="array" ref="R49">Q49*P49</f>
        <v>1390.7148713176141</v>
      </c>
      <c r="S49" s="48">
        <f t="shared" ref="S49" si="3">P49*(1-Q49)</f>
        <v>21222.535068806192</v>
      </c>
      <c r="T49" s="161" t="s">
        <v>74</v>
      </c>
    </row>
    <row r="50" spans="2:20" x14ac:dyDescent="0.2">
      <c r="B50" s="46"/>
      <c r="C50" s="96"/>
      <c r="D50" s="136"/>
      <c r="E50" s="96"/>
      <c r="F50" s="96"/>
      <c r="G50" s="97" t="s">
        <v>51</v>
      </c>
      <c r="H50" s="97"/>
      <c r="I50" s="97"/>
      <c r="J50" s="214"/>
      <c r="K50" s="214"/>
      <c r="L50" s="214"/>
      <c r="M50" s="214"/>
      <c r="N50" s="98"/>
      <c r="O50" s="99"/>
      <c r="P50" s="98"/>
      <c r="Q50" s="99"/>
      <c r="R50" s="100"/>
      <c r="S50" s="98">
        <f>SUM(S51:S51)</f>
        <v>2781.4297426352282</v>
      </c>
      <c r="T50" s="167"/>
    </row>
    <row r="51" spans="2:20" x14ac:dyDescent="0.2">
      <c r="B51" s="50" t="s">
        <v>52</v>
      </c>
      <c r="C51" s="49"/>
      <c r="D51" s="145"/>
      <c r="E51" s="49"/>
      <c r="F51" s="49"/>
      <c r="G51" s="101" t="s">
        <v>53</v>
      </c>
      <c r="H51" s="49" t="s">
        <v>25</v>
      </c>
      <c r="I51" s="49" t="s">
        <v>26</v>
      </c>
      <c r="J51" s="213"/>
      <c r="K51" s="213"/>
      <c r="L51" s="213"/>
      <c r="M51" s="213"/>
      <c r="N51" s="48"/>
      <c r="O51" s="53"/>
      <c r="P51" s="102"/>
      <c r="Q51" s="53"/>
      <c r="R51" s="54"/>
      <c r="S51" s="48">
        <f>SUM(R48:R49)</f>
        <v>2781.4297426352282</v>
      </c>
      <c r="T51" s="168"/>
    </row>
    <row r="52" spans="2:20" x14ac:dyDescent="0.2">
      <c r="B52" s="48" t="s">
        <v>23</v>
      </c>
      <c r="C52" s="49"/>
      <c r="D52" s="145"/>
      <c r="E52" s="49"/>
      <c r="F52" s="49"/>
      <c r="G52" s="49" t="s">
        <v>88</v>
      </c>
      <c r="H52" s="49" t="s">
        <v>46</v>
      </c>
      <c r="I52" s="49" t="s">
        <v>47</v>
      </c>
      <c r="J52" s="51">
        <v>237</v>
      </c>
      <c r="K52" s="50" t="s">
        <v>32</v>
      </c>
      <c r="L52" s="51">
        <v>3391</v>
      </c>
      <c r="M52" s="51" t="s">
        <v>87</v>
      </c>
      <c r="N52" s="48"/>
      <c r="O52" s="53"/>
      <c r="P52" s="102"/>
      <c r="Q52" s="53"/>
      <c r="R52" s="54"/>
      <c r="S52" s="48">
        <v>66356.13</v>
      </c>
      <c r="T52" s="168" t="s">
        <v>92</v>
      </c>
    </row>
    <row r="53" spans="2:20" x14ac:dyDescent="0.2">
      <c r="B53" s="48" t="s">
        <v>23</v>
      </c>
      <c r="C53" s="49"/>
      <c r="D53" s="145"/>
      <c r="E53" s="49"/>
      <c r="F53" s="49"/>
      <c r="G53" s="49" t="s">
        <v>86</v>
      </c>
      <c r="H53" s="49" t="s">
        <v>46</v>
      </c>
      <c r="I53" s="49" t="s">
        <v>47</v>
      </c>
      <c r="J53" s="51">
        <v>237</v>
      </c>
      <c r="K53" s="50" t="s">
        <v>32</v>
      </c>
      <c r="L53" s="51">
        <v>3391</v>
      </c>
      <c r="M53" s="51" t="s">
        <v>87</v>
      </c>
      <c r="N53" s="52"/>
      <c r="O53" s="53"/>
      <c r="P53" s="48"/>
      <c r="Q53" s="53"/>
      <c r="R53" s="54"/>
      <c r="S53" s="48">
        <f>S47-SUM(S48:S50,S52:S52)</f>
        <v>1897604.6272997523</v>
      </c>
      <c r="T53" s="168" t="s">
        <v>93</v>
      </c>
    </row>
    <row r="54" spans="2:20" x14ac:dyDescent="0.2">
      <c r="B54" s="114" t="s">
        <v>96</v>
      </c>
      <c r="C54" s="115"/>
      <c r="D54" s="145"/>
      <c r="E54" s="115"/>
      <c r="F54" s="115"/>
      <c r="G54" s="117"/>
      <c r="H54" s="117"/>
      <c r="I54" s="117"/>
      <c r="J54" s="116"/>
      <c r="K54" s="116"/>
      <c r="L54" s="118"/>
      <c r="M54" s="118"/>
      <c r="N54" s="116"/>
      <c r="O54" s="116"/>
      <c r="P54" s="116"/>
      <c r="Q54" s="116"/>
      <c r="R54" s="54"/>
      <c r="S54" s="119">
        <f>S47-SUM(S48:S50,S52:S53)</f>
        <v>0</v>
      </c>
      <c r="T54" s="168"/>
    </row>
    <row r="55" spans="2:20" x14ac:dyDescent="0.2">
      <c r="B55" s="120"/>
      <c r="C55" s="121"/>
      <c r="D55" s="148"/>
      <c r="E55" s="121"/>
      <c r="F55" s="121"/>
      <c r="G55" s="123"/>
      <c r="H55" s="123"/>
      <c r="I55" s="123"/>
      <c r="J55" s="122"/>
      <c r="K55" s="122"/>
      <c r="L55" s="124"/>
      <c r="M55" s="124"/>
      <c r="N55" s="122"/>
      <c r="O55" s="122"/>
      <c r="P55" s="122"/>
      <c r="Q55" s="122"/>
      <c r="R55" s="125"/>
      <c r="S55" s="126"/>
      <c r="T55" s="171"/>
    </row>
    <row r="56" spans="2:20" x14ac:dyDescent="0.2">
      <c r="B56" s="102" t="s">
        <v>20</v>
      </c>
      <c r="C56" s="196">
        <v>336</v>
      </c>
      <c r="D56" s="199">
        <v>43853</v>
      </c>
      <c r="E56" s="200">
        <v>996.62132555999995</v>
      </c>
      <c r="F56" s="201">
        <v>500</v>
      </c>
      <c r="G56" s="49" t="s">
        <v>20</v>
      </c>
      <c r="H56" s="149"/>
      <c r="I56" s="149"/>
      <c r="J56" s="150"/>
      <c r="K56" s="150"/>
      <c r="L56" s="151"/>
      <c r="M56" s="150"/>
      <c r="N56" s="102"/>
      <c r="O56" s="152"/>
      <c r="P56" s="102"/>
      <c r="Q56" s="152"/>
      <c r="R56" s="153"/>
      <c r="S56" s="154">
        <f>E56*F56</f>
        <v>498310.66277999996</v>
      </c>
      <c r="T56" s="159"/>
    </row>
    <row r="57" spans="2:20" x14ac:dyDescent="0.2">
      <c r="B57" s="32" t="s">
        <v>20</v>
      </c>
      <c r="C57" s="38" t="s">
        <v>21</v>
      </c>
      <c r="D57" s="138"/>
      <c r="E57" s="34"/>
      <c r="F57" s="35"/>
      <c r="G57" s="37" t="s">
        <v>22</v>
      </c>
      <c r="H57" s="37"/>
      <c r="I57" s="37"/>
      <c r="J57" s="38"/>
      <c r="K57" s="38"/>
      <c r="L57" s="39"/>
      <c r="M57" s="38"/>
      <c r="N57" s="32"/>
      <c r="O57" s="40"/>
      <c r="P57" s="32"/>
      <c r="Q57" s="40"/>
      <c r="R57" s="41"/>
      <c r="S57" s="42">
        <f>SUM(S56:S56)</f>
        <v>498310.66277999996</v>
      </c>
      <c r="T57" s="159"/>
    </row>
    <row r="58" spans="2:20" x14ac:dyDescent="0.2">
      <c r="B58" s="7" t="s">
        <v>23</v>
      </c>
      <c r="C58" s="8"/>
      <c r="D58" s="139"/>
      <c r="E58" s="8"/>
      <c r="F58" s="8"/>
      <c r="G58" s="8" t="s">
        <v>24</v>
      </c>
      <c r="H58" s="8" t="s">
        <v>25</v>
      </c>
      <c r="I58" s="8" t="s">
        <v>26</v>
      </c>
      <c r="J58" s="14">
        <v>341</v>
      </c>
      <c r="K58" s="14" t="s">
        <v>27</v>
      </c>
      <c r="L58" s="43" t="s">
        <v>28</v>
      </c>
      <c r="M58" s="14" t="s">
        <v>29</v>
      </c>
      <c r="N58" s="44">
        <f>S56*1%</f>
        <v>4983.1066277999998</v>
      </c>
      <c r="O58" s="45">
        <v>0.1115</v>
      </c>
      <c r="P58" s="46">
        <f t="array" ref="P58">N58/(1-O58)</f>
        <v>5608.4486525604952</v>
      </c>
      <c r="Q58" s="45">
        <v>6.1499999999999999E-2</v>
      </c>
      <c r="R58" s="47">
        <f>Q58*P58</f>
        <v>344.91959213247043</v>
      </c>
      <c r="S58" s="46">
        <f>P58*(1-Q58)</f>
        <v>5263.5290604280244</v>
      </c>
      <c r="T58" s="160" t="s">
        <v>74</v>
      </c>
    </row>
    <row r="59" spans="2:20" x14ac:dyDescent="0.2">
      <c r="B59" s="48" t="s">
        <v>23</v>
      </c>
      <c r="C59" s="49"/>
      <c r="D59" s="138"/>
      <c r="E59" s="49"/>
      <c r="F59" s="49"/>
      <c r="G59" s="49" t="s">
        <v>30</v>
      </c>
      <c r="H59" s="49" t="s">
        <v>25</v>
      </c>
      <c r="I59" s="49" t="s">
        <v>26</v>
      </c>
      <c r="J59" s="50">
        <v>341</v>
      </c>
      <c r="K59" s="50" t="s">
        <v>27</v>
      </c>
      <c r="L59" s="51" t="s">
        <v>28</v>
      </c>
      <c r="M59" s="50" t="s">
        <v>29</v>
      </c>
      <c r="N59" s="52">
        <f>S57*1%</f>
        <v>4983.1066277999998</v>
      </c>
      <c r="O59" s="53">
        <v>0.1115</v>
      </c>
      <c r="P59" s="48">
        <f t="array" ref="P59">N59/(1-O59)</f>
        <v>5608.4486525604952</v>
      </c>
      <c r="Q59" s="53">
        <v>6.1499999999999999E-2</v>
      </c>
      <c r="R59" s="54">
        <f t="array" ref="R59">Q59*P59</f>
        <v>344.91959213247043</v>
      </c>
      <c r="S59" s="48">
        <f t="shared" ref="S59" si="4">P59*(1-Q59)</f>
        <v>5263.5290604280244</v>
      </c>
      <c r="T59" s="161" t="s">
        <v>74</v>
      </c>
    </row>
    <row r="60" spans="2:20" x14ac:dyDescent="0.2">
      <c r="B60" s="46"/>
      <c r="C60" s="96"/>
      <c r="D60" s="136"/>
      <c r="E60" s="96"/>
      <c r="F60" s="96"/>
      <c r="G60" s="97" t="s">
        <v>51</v>
      </c>
      <c r="H60" s="97"/>
      <c r="I60" s="97"/>
      <c r="J60" s="214"/>
      <c r="K60" s="214"/>
      <c r="L60" s="214"/>
      <c r="M60" s="214"/>
      <c r="N60" s="98"/>
      <c r="O60" s="99"/>
      <c r="P60" s="98"/>
      <c r="Q60" s="99"/>
      <c r="R60" s="100"/>
      <c r="S60" s="98">
        <f>SUM(S61:S61)</f>
        <v>689.83918426494085</v>
      </c>
      <c r="T60" s="167"/>
    </row>
    <row r="61" spans="2:20" x14ac:dyDescent="0.2">
      <c r="B61" s="50" t="s">
        <v>52</v>
      </c>
      <c r="C61" s="49"/>
      <c r="D61" s="145"/>
      <c r="E61" s="49"/>
      <c r="F61" s="49"/>
      <c r="G61" s="101" t="s">
        <v>53</v>
      </c>
      <c r="H61" s="49" t="s">
        <v>25</v>
      </c>
      <c r="I61" s="49" t="s">
        <v>26</v>
      </c>
      <c r="J61" s="213"/>
      <c r="K61" s="213"/>
      <c r="L61" s="213"/>
      <c r="M61" s="213"/>
      <c r="N61" s="48"/>
      <c r="O61" s="53"/>
      <c r="P61" s="102"/>
      <c r="Q61" s="53"/>
      <c r="R61" s="54"/>
      <c r="S61" s="48">
        <f>SUM(R58:R59)</f>
        <v>689.83918426494085</v>
      </c>
      <c r="T61" s="168"/>
    </row>
    <row r="62" spans="2:20" x14ac:dyDescent="0.2">
      <c r="B62" s="48" t="s">
        <v>23</v>
      </c>
      <c r="C62" s="49"/>
      <c r="D62" s="145"/>
      <c r="E62" s="49"/>
      <c r="F62" s="49"/>
      <c r="G62" s="49" t="s">
        <v>88</v>
      </c>
      <c r="H62" s="49" t="s">
        <v>46</v>
      </c>
      <c r="I62" s="49" t="s">
        <v>47</v>
      </c>
      <c r="J62" s="51">
        <v>237</v>
      </c>
      <c r="K62" s="50" t="s">
        <v>32</v>
      </c>
      <c r="L62" s="51">
        <v>3391</v>
      </c>
      <c r="M62" s="51" t="s">
        <v>87</v>
      </c>
      <c r="N62" s="48"/>
      <c r="O62" s="53"/>
      <c r="P62" s="102"/>
      <c r="Q62" s="53"/>
      <c r="R62" s="54"/>
      <c r="S62" s="48">
        <v>16081.53</v>
      </c>
      <c r="T62" s="168" t="s">
        <v>92</v>
      </c>
    </row>
    <row r="63" spans="2:20" x14ac:dyDescent="0.2">
      <c r="B63" s="48" t="s">
        <v>23</v>
      </c>
      <c r="C63" s="49"/>
      <c r="D63" s="145"/>
      <c r="E63" s="49"/>
      <c r="F63" s="49"/>
      <c r="G63" s="49" t="s">
        <v>86</v>
      </c>
      <c r="H63" s="49" t="s">
        <v>46</v>
      </c>
      <c r="I63" s="49" t="s">
        <v>47</v>
      </c>
      <c r="J63" s="51">
        <v>237</v>
      </c>
      <c r="K63" s="50" t="s">
        <v>32</v>
      </c>
      <c r="L63" s="51">
        <v>3391</v>
      </c>
      <c r="M63" s="51" t="s">
        <v>87</v>
      </c>
      <c r="N63" s="52"/>
      <c r="O63" s="53"/>
      <c r="P63" s="48"/>
      <c r="Q63" s="53"/>
      <c r="R63" s="54"/>
      <c r="S63" s="48">
        <f>S57-SUM(S58:S60,S62:S62)</f>
        <v>471012.23547487898</v>
      </c>
      <c r="T63" s="168" t="s">
        <v>93</v>
      </c>
    </row>
    <row r="64" spans="2:20" x14ac:dyDescent="0.2">
      <c r="B64" s="114" t="s">
        <v>96</v>
      </c>
      <c r="C64" s="115"/>
      <c r="D64" s="145"/>
      <c r="E64" s="115"/>
      <c r="F64" s="115"/>
      <c r="G64" s="117"/>
      <c r="H64" s="117"/>
      <c r="I64" s="117"/>
      <c r="J64" s="116"/>
      <c r="K64" s="116"/>
      <c r="L64" s="118"/>
      <c r="M64" s="118"/>
      <c r="N64" s="116"/>
      <c r="O64" s="116"/>
      <c r="P64" s="116"/>
      <c r="Q64" s="116"/>
      <c r="R64" s="54"/>
      <c r="S64" s="119">
        <f>S57-SUM(S58:S60,S62:S63)</f>
        <v>0</v>
      </c>
      <c r="T64" s="168"/>
    </row>
    <row r="65" spans="2:20" ht="12" customHeight="1" x14ac:dyDescent="0.2">
      <c r="B65" s="120"/>
      <c r="C65" s="121"/>
      <c r="D65" s="148"/>
      <c r="E65" s="121"/>
      <c r="F65" s="121"/>
      <c r="G65" s="123"/>
      <c r="H65" s="123"/>
      <c r="I65" s="123"/>
      <c r="J65" s="122"/>
      <c r="K65" s="122"/>
      <c r="L65" s="124"/>
      <c r="M65" s="124"/>
      <c r="N65" s="122"/>
      <c r="O65" s="122"/>
      <c r="P65" s="122"/>
      <c r="Q65" s="122"/>
      <c r="R65" s="125"/>
      <c r="S65" s="126"/>
      <c r="T65" s="171"/>
    </row>
    <row r="66" spans="2:20" ht="12" customHeight="1" x14ac:dyDescent="0.2">
      <c r="B66" s="102" t="s">
        <v>20</v>
      </c>
      <c r="C66" s="196">
        <v>338</v>
      </c>
      <c r="D66" s="199">
        <v>43864</v>
      </c>
      <c r="E66" s="200">
        <v>1000</v>
      </c>
      <c r="F66" s="201">
        <v>10000</v>
      </c>
      <c r="G66" s="49" t="s">
        <v>20</v>
      </c>
      <c r="H66" s="149"/>
      <c r="I66" s="149"/>
      <c r="J66" s="150"/>
      <c r="K66" s="150"/>
      <c r="L66" s="151"/>
      <c r="M66" s="150"/>
      <c r="N66" s="102"/>
      <c r="O66" s="152"/>
      <c r="P66" s="102"/>
      <c r="Q66" s="152"/>
      <c r="R66" s="153"/>
      <c r="S66" s="154">
        <f>E66*F66</f>
        <v>10000000</v>
      </c>
      <c r="T66" s="159"/>
    </row>
    <row r="67" spans="2:20" ht="12" customHeight="1" x14ac:dyDescent="0.2">
      <c r="B67" s="32" t="s">
        <v>20</v>
      </c>
      <c r="C67" s="38" t="s">
        <v>21</v>
      </c>
      <c r="D67" s="138"/>
      <c r="E67" s="34"/>
      <c r="F67" s="35"/>
      <c r="G67" s="37" t="s">
        <v>22</v>
      </c>
      <c r="H67" s="37"/>
      <c r="I67" s="37"/>
      <c r="J67" s="38"/>
      <c r="K67" s="38"/>
      <c r="L67" s="39"/>
      <c r="M67" s="38"/>
      <c r="N67" s="32"/>
      <c r="O67" s="40"/>
      <c r="P67" s="32"/>
      <c r="Q67" s="40"/>
      <c r="R67" s="41"/>
      <c r="S67" s="42">
        <f>SUM(S66:S66)</f>
        <v>10000000</v>
      </c>
      <c r="T67" s="159"/>
    </row>
    <row r="68" spans="2:20" ht="12" customHeight="1" x14ac:dyDescent="0.2">
      <c r="B68" s="20" t="s">
        <v>23</v>
      </c>
      <c r="C68" s="103"/>
      <c r="D68" s="173"/>
      <c r="E68" s="103"/>
      <c r="F68" s="103"/>
      <c r="G68" s="103" t="s">
        <v>24</v>
      </c>
      <c r="H68" s="103" t="s">
        <v>25</v>
      </c>
      <c r="I68" s="103" t="s">
        <v>26</v>
      </c>
      <c r="J68" s="20">
        <v>341</v>
      </c>
      <c r="K68" s="20" t="s">
        <v>27</v>
      </c>
      <c r="L68" s="106" t="s">
        <v>28</v>
      </c>
      <c r="M68" s="20" t="s">
        <v>29</v>
      </c>
      <c r="N68" s="127">
        <f>S67*1%</f>
        <v>100000</v>
      </c>
      <c r="O68" s="108">
        <v>0.1115</v>
      </c>
      <c r="P68" s="107">
        <f t="array" ref="P68">N68/(1-O68)</f>
        <v>112549.24029262803</v>
      </c>
      <c r="Q68" s="108">
        <v>6.1499999999999999E-2</v>
      </c>
      <c r="R68" s="110">
        <f>Q68*P68</f>
        <v>6921.7782779966237</v>
      </c>
      <c r="S68" s="107">
        <f>P68*(1-Q68)</f>
        <v>105627.46201463141</v>
      </c>
      <c r="T68" s="169" t="s">
        <v>74</v>
      </c>
    </row>
    <row r="69" spans="2:20" ht="12" customHeight="1" x14ac:dyDescent="0.2">
      <c r="B69" s="107" t="s">
        <v>23</v>
      </c>
      <c r="C69" s="103"/>
      <c r="D69" s="173"/>
      <c r="E69" s="103"/>
      <c r="F69" s="103"/>
      <c r="G69" s="103" t="s">
        <v>30</v>
      </c>
      <c r="H69" s="103" t="s">
        <v>25</v>
      </c>
      <c r="I69" s="103" t="s">
        <v>26</v>
      </c>
      <c r="J69" s="20">
        <v>341</v>
      </c>
      <c r="K69" s="20" t="s">
        <v>27</v>
      </c>
      <c r="L69" s="106" t="s">
        <v>28</v>
      </c>
      <c r="M69" s="20" t="s">
        <v>29</v>
      </c>
      <c r="N69" s="127">
        <f>S67*1%</f>
        <v>100000</v>
      </c>
      <c r="O69" s="108">
        <v>0.1115</v>
      </c>
      <c r="P69" s="107">
        <f t="array" ref="P69">N69/(1-O69)</f>
        <v>112549.24029262803</v>
      </c>
      <c r="Q69" s="108">
        <v>6.1499999999999999E-2</v>
      </c>
      <c r="R69" s="110">
        <f t="array" ref="R69">Q69*P69</f>
        <v>6921.7782779966237</v>
      </c>
      <c r="S69" s="107">
        <f t="shared" ref="S69" si="5">P69*(1-Q69)</f>
        <v>105627.46201463141</v>
      </c>
      <c r="T69" s="172" t="s">
        <v>74</v>
      </c>
    </row>
    <row r="70" spans="2:20" ht="12" customHeight="1" x14ac:dyDescent="0.2">
      <c r="B70" s="33" t="s">
        <v>52</v>
      </c>
      <c r="C70" s="174"/>
      <c r="D70" s="175"/>
      <c r="E70" s="174"/>
      <c r="F70" s="174"/>
      <c r="G70" s="36" t="s">
        <v>51</v>
      </c>
      <c r="H70" s="36"/>
      <c r="I70" s="36"/>
      <c r="J70" s="212"/>
      <c r="K70" s="212"/>
      <c r="L70" s="212"/>
      <c r="M70" s="212"/>
      <c r="N70" s="119"/>
      <c r="O70" s="155"/>
      <c r="P70" s="119"/>
      <c r="Q70" s="155"/>
      <c r="R70" s="156"/>
      <c r="S70" s="119">
        <f>SUM(S71:S71)</f>
        <v>13843.556555993247</v>
      </c>
      <c r="T70" s="176"/>
    </row>
    <row r="71" spans="2:20" ht="12" customHeight="1" x14ac:dyDescent="0.2">
      <c r="B71" s="111" t="s">
        <v>52</v>
      </c>
      <c r="C71" s="49"/>
      <c r="D71" s="145"/>
      <c r="E71" s="49"/>
      <c r="F71" s="49"/>
      <c r="G71" s="101" t="s">
        <v>53</v>
      </c>
      <c r="H71" s="49" t="s">
        <v>25</v>
      </c>
      <c r="I71" s="49" t="s">
        <v>26</v>
      </c>
      <c r="J71" s="213"/>
      <c r="K71" s="213"/>
      <c r="L71" s="213"/>
      <c r="M71" s="213"/>
      <c r="N71" s="48"/>
      <c r="O71" s="53"/>
      <c r="P71" s="102"/>
      <c r="Q71" s="53"/>
      <c r="R71" s="54"/>
      <c r="S71" s="48">
        <f>SUM(R68:R69)</f>
        <v>13843.556555993247</v>
      </c>
      <c r="T71" s="168"/>
    </row>
    <row r="72" spans="2:20" ht="12" customHeight="1" x14ac:dyDescent="0.2">
      <c r="B72" s="107" t="s">
        <v>23</v>
      </c>
      <c r="C72" s="103"/>
      <c r="D72" s="146"/>
      <c r="E72" s="103"/>
      <c r="F72" s="103"/>
      <c r="G72" s="103" t="s">
        <v>88</v>
      </c>
      <c r="H72" s="103" t="s">
        <v>46</v>
      </c>
      <c r="I72" s="103" t="s">
        <v>47</v>
      </c>
      <c r="J72" s="106">
        <v>237</v>
      </c>
      <c r="K72" s="20" t="s">
        <v>32</v>
      </c>
      <c r="L72" s="106">
        <v>3391</v>
      </c>
      <c r="M72" s="106" t="s">
        <v>87</v>
      </c>
      <c r="N72" s="107"/>
      <c r="O72" s="108"/>
      <c r="P72" s="109"/>
      <c r="Q72" s="108"/>
      <c r="R72" s="110"/>
      <c r="S72" s="107">
        <v>322814.58</v>
      </c>
      <c r="T72" s="169" t="s">
        <v>92</v>
      </c>
    </row>
    <row r="73" spans="2:20" ht="12" customHeight="1" x14ac:dyDescent="0.2">
      <c r="B73" s="107" t="s">
        <v>23</v>
      </c>
      <c r="C73" s="103"/>
      <c r="D73" s="146"/>
      <c r="E73" s="103"/>
      <c r="F73" s="103"/>
      <c r="G73" s="103" t="s">
        <v>91</v>
      </c>
      <c r="H73" s="103" t="s">
        <v>46</v>
      </c>
      <c r="I73" s="103" t="s">
        <v>47</v>
      </c>
      <c r="J73" s="106">
        <v>237</v>
      </c>
      <c r="K73" s="20" t="s">
        <v>32</v>
      </c>
      <c r="L73" s="106">
        <v>3391</v>
      </c>
      <c r="M73" s="106" t="s">
        <v>87</v>
      </c>
      <c r="N73" s="107"/>
      <c r="O73" s="108"/>
      <c r="P73" s="109"/>
      <c r="Q73" s="108"/>
      <c r="R73" s="110"/>
      <c r="S73" s="107">
        <v>123153.01</v>
      </c>
      <c r="T73" s="169" t="s">
        <v>95</v>
      </c>
    </row>
    <row r="74" spans="2:20" ht="12" customHeight="1" x14ac:dyDescent="0.2">
      <c r="B74" s="107" t="s">
        <v>23</v>
      </c>
      <c r="C74" s="103"/>
      <c r="D74" s="146"/>
      <c r="E74" s="103"/>
      <c r="F74" s="103"/>
      <c r="G74" s="103" t="s">
        <v>86</v>
      </c>
      <c r="H74" s="103" t="s">
        <v>46</v>
      </c>
      <c r="I74" s="103" t="s">
        <v>47</v>
      </c>
      <c r="J74" s="106">
        <v>237</v>
      </c>
      <c r="K74" s="20" t="s">
        <v>32</v>
      </c>
      <c r="L74" s="106">
        <v>3391</v>
      </c>
      <c r="M74" s="106" t="s">
        <v>87</v>
      </c>
      <c r="N74" s="127"/>
      <c r="O74" s="108"/>
      <c r="P74" s="107"/>
      <c r="Q74" s="108"/>
      <c r="R74" s="110"/>
      <c r="S74" s="107">
        <f>S67-SUM(S68:S70,S72:S73)</f>
        <v>9328933.9294147436</v>
      </c>
      <c r="T74" s="169" t="s">
        <v>93</v>
      </c>
    </row>
    <row r="75" spans="2:20" ht="12" customHeight="1" x14ac:dyDescent="0.2">
      <c r="B75" s="114" t="s">
        <v>96</v>
      </c>
      <c r="C75" s="115"/>
      <c r="D75" s="145"/>
      <c r="E75" s="115"/>
      <c r="F75" s="115"/>
      <c r="G75" s="117"/>
      <c r="H75" s="117"/>
      <c r="I75" s="117"/>
      <c r="J75" s="116"/>
      <c r="K75" s="116"/>
      <c r="L75" s="118"/>
      <c r="M75" s="118"/>
      <c r="N75" s="116"/>
      <c r="O75" s="116"/>
      <c r="P75" s="116"/>
      <c r="Q75" s="116"/>
      <c r="R75" s="54"/>
      <c r="S75" s="119">
        <f>S67-SUM(S68:S70,S72:S74)</f>
        <v>0</v>
      </c>
      <c r="T75" s="168"/>
    </row>
    <row r="76" spans="2:20" ht="12" customHeight="1" x14ac:dyDescent="0.2">
      <c r="B76" s="120"/>
      <c r="C76" s="121"/>
      <c r="D76" s="148"/>
      <c r="E76" s="121"/>
      <c r="F76" s="121"/>
      <c r="G76" s="123"/>
      <c r="H76" s="123"/>
      <c r="I76" s="123"/>
      <c r="J76" s="122"/>
      <c r="K76" s="122"/>
      <c r="L76" s="124"/>
      <c r="M76" s="124"/>
      <c r="N76" s="122"/>
      <c r="O76" s="122"/>
      <c r="P76" s="122"/>
      <c r="Q76" s="122"/>
      <c r="R76" s="125"/>
      <c r="S76" s="126"/>
      <c r="T76" s="171"/>
    </row>
    <row r="77" spans="2:20" ht="12" customHeight="1" x14ac:dyDescent="0.2">
      <c r="B77" s="102" t="s">
        <v>20</v>
      </c>
      <c r="C77" s="196">
        <v>337</v>
      </c>
      <c r="D77" s="199">
        <v>43892</v>
      </c>
      <c r="E77" s="200">
        <v>1000</v>
      </c>
      <c r="F77" s="201">
        <v>1175</v>
      </c>
      <c r="G77" s="49" t="s">
        <v>20</v>
      </c>
      <c r="H77" s="149"/>
      <c r="I77" s="149"/>
      <c r="J77" s="150"/>
      <c r="K77" s="150"/>
      <c r="L77" s="151"/>
      <c r="M77" s="150"/>
      <c r="N77" s="102"/>
      <c r="O77" s="152"/>
      <c r="P77" s="102"/>
      <c r="Q77" s="152"/>
      <c r="R77" s="153"/>
      <c r="S77" s="154">
        <f>E77*F77</f>
        <v>1175000</v>
      </c>
      <c r="T77" s="159"/>
    </row>
    <row r="78" spans="2:20" ht="12" customHeight="1" x14ac:dyDescent="0.2">
      <c r="B78" s="102" t="s">
        <v>20</v>
      </c>
      <c r="C78" s="196">
        <v>338</v>
      </c>
      <c r="D78" s="199">
        <v>43892</v>
      </c>
      <c r="E78" s="200">
        <v>1008.75562629</v>
      </c>
      <c r="F78" s="201">
        <v>325</v>
      </c>
      <c r="G78" s="49" t="s">
        <v>20</v>
      </c>
      <c r="H78" s="149"/>
      <c r="I78" s="149"/>
      <c r="J78" s="150"/>
      <c r="K78" s="150"/>
      <c r="L78" s="151"/>
      <c r="M78" s="150"/>
      <c r="N78" s="102"/>
      <c r="O78" s="152"/>
      <c r="P78" s="102"/>
      <c r="Q78" s="152"/>
      <c r="R78" s="153"/>
      <c r="S78" s="154">
        <f>E78*F78</f>
        <v>327845.57854424999</v>
      </c>
      <c r="T78" s="159"/>
    </row>
    <row r="79" spans="2:20" ht="12" customHeight="1" x14ac:dyDescent="0.2">
      <c r="B79" s="32" t="s">
        <v>20</v>
      </c>
      <c r="C79" s="38" t="s">
        <v>21</v>
      </c>
      <c r="D79" s="138"/>
      <c r="E79" s="34"/>
      <c r="F79" s="35"/>
      <c r="G79" s="37" t="s">
        <v>22</v>
      </c>
      <c r="H79" s="37"/>
      <c r="I79" s="37"/>
      <c r="J79" s="38"/>
      <c r="K79" s="38"/>
      <c r="L79" s="39"/>
      <c r="M79" s="38"/>
      <c r="N79" s="32"/>
      <c r="O79" s="40"/>
      <c r="P79" s="32"/>
      <c r="Q79" s="40"/>
      <c r="R79" s="41"/>
      <c r="S79" s="42">
        <f>SUM(S77:S78)</f>
        <v>1502845.57854425</v>
      </c>
      <c r="T79" s="159"/>
    </row>
    <row r="80" spans="2:20" ht="12" customHeight="1" x14ac:dyDescent="0.2">
      <c r="B80" s="20" t="s">
        <v>23</v>
      </c>
      <c r="C80" s="103"/>
      <c r="D80" s="173"/>
      <c r="E80" s="103"/>
      <c r="F80" s="103"/>
      <c r="G80" s="103" t="s">
        <v>24</v>
      </c>
      <c r="H80" s="103" t="s">
        <v>25</v>
      </c>
      <c r="I80" s="103" t="s">
        <v>26</v>
      </c>
      <c r="J80" s="20">
        <v>341</v>
      </c>
      <c r="K80" s="20" t="s">
        <v>27</v>
      </c>
      <c r="L80" s="106" t="s">
        <v>28</v>
      </c>
      <c r="M80" s="20" t="s">
        <v>29</v>
      </c>
      <c r="N80" s="127">
        <f>S79*1%</f>
        <v>15028.4557854425</v>
      </c>
      <c r="O80" s="108">
        <v>0.1115</v>
      </c>
      <c r="P80" s="107">
        <f t="array" ref="P80">N80/(1-O80)</f>
        <v>16914.412814229039</v>
      </c>
      <c r="Q80" s="108">
        <v>6.1499999999999999E-2</v>
      </c>
      <c r="R80" s="110">
        <f>Q80*P80</f>
        <v>1040.2363880750859</v>
      </c>
      <c r="S80" s="107">
        <f>P80*(1-Q80)</f>
        <v>15874.176426153954</v>
      </c>
      <c r="T80" s="169" t="s">
        <v>74</v>
      </c>
    </row>
    <row r="81" spans="2:20" ht="12" customHeight="1" x14ac:dyDescent="0.2">
      <c r="B81" s="107" t="s">
        <v>23</v>
      </c>
      <c r="C81" s="103"/>
      <c r="D81" s="173"/>
      <c r="E81" s="103"/>
      <c r="F81" s="103"/>
      <c r="G81" s="103" t="s">
        <v>30</v>
      </c>
      <c r="H81" s="103" t="s">
        <v>25</v>
      </c>
      <c r="I81" s="103" t="s">
        <v>26</v>
      </c>
      <c r="J81" s="20">
        <v>341</v>
      </c>
      <c r="K81" s="20" t="s">
        <v>27</v>
      </c>
      <c r="L81" s="106" t="s">
        <v>28</v>
      </c>
      <c r="M81" s="20" t="s">
        <v>29</v>
      </c>
      <c r="N81" s="127">
        <f>S79*1%</f>
        <v>15028.4557854425</v>
      </c>
      <c r="O81" s="108">
        <v>0.1115</v>
      </c>
      <c r="P81" s="107">
        <f t="array" ref="P81">N81/(1-O81)</f>
        <v>16914.412814229039</v>
      </c>
      <c r="Q81" s="108">
        <v>6.1499999999999999E-2</v>
      </c>
      <c r="R81" s="110">
        <f t="array" ref="R81">Q81*P81</f>
        <v>1040.2363880750859</v>
      </c>
      <c r="S81" s="107">
        <f t="shared" ref="S81" si="6">P81*(1-Q81)</f>
        <v>15874.176426153954</v>
      </c>
      <c r="T81" s="172" t="s">
        <v>74</v>
      </c>
    </row>
    <row r="82" spans="2:20" ht="12" customHeight="1" x14ac:dyDescent="0.2">
      <c r="B82" s="178" t="s">
        <v>52</v>
      </c>
      <c r="C82" s="174"/>
      <c r="D82" s="175"/>
      <c r="E82" s="174"/>
      <c r="F82" s="174"/>
      <c r="G82" s="36" t="s">
        <v>51</v>
      </c>
      <c r="H82" s="36"/>
      <c r="I82" s="36"/>
      <c r="J82" s="212"/>
      <c r="K82" s="212"/>
      <c r="L82" s="212"/>
      <c r="M82" s="212"/>
      <c r="N82" s="119"/>
      <c r="O82" s="155"/>
      <c r="P82" s="119"/>
      <c r="Q82" s="155"/>
      <c r="R82" s="156"/>
      <c r="S82" s="119">
        <f>SUM(S83:S83)</f>
        <v>2080.4727761501717</v>
      </c>
      <c r="T82" s="176"/>
    </row>
    <row r="83" spans="2:20" ht="12" customHeight="1" x14ac:dyDescent="0.2">
      <c r="B83" s="177" t="s">
        <v>52</v>
      </c>
      <c r="C83" s="49"/>
      <c r="D83" s="145"/>
      <c r="E83" s="49"/>
      <c r="F83" s="49"/>
      <c r="G83" s="101" t="s">
        <v>53</v>
      </c>
      <c r="H83" s="49" t="s">
        <v>25</v>
      </c>
      <c r="I83" s="49" t="s">
        <v>26</v>
      </c>
      <c r="J83" s="213"/>
      <c r="K83" s="213"/>
      <c r="L83" s="213"/>
      <c r="M83" s="213"/>
      <c r="N83" s="48"/>
      <c r="O83" s="53"/>
      <c r="P83" s="102"/>
      <c r="Q83" s="53"/>
      <c r="R83" s="54"/>
      <c r="S83" s="48">
        <f>SUM(R80:R81)</f>
        <v>2080.4727761501717</v>
      </c>
      <c r="T83" s="168"/>
    </row>
    <row r="84" spans="2:20" ht="12" customHeight="1" x14ac:dyDescent="0.2">
      <c r="B84" s="107" t="s">
        <v>23</v>
      </c>
      <c r="C84" s="103"/>
      <c r="D84" s="146"/>
      <c r="E84" s="103"/>
      <c r="F84" s="103"/>
      <c r="G84" s="103" t="s">
        <v>88</v>
      </c>
      <c r="H84" s="103" t="s">
        <v>46</v>
      </c>
      <c r="I84" s="103" t="s">
        <v>47</v>
      </c>
      <c r="J84" s="106">
        <v>237</v>
      </c>
      <c r="K84" s="20" t="s">
        <v>32</v>
      </c>
      <c r="L84" s="106">
        <v>3391</v>
      </c>
      <c r="M84" s="106" t="s">
        <v>87</v>
      </c>
      <c r="N84" s="107"/>
      <c r="O84" s="108"/>
      <c r="P84" s="109"/>
      <c r="Q84" s="108"/>
      <c r="R84" s="110"/>
      <c r="S84" s="107">
        <f>40121.22+10454.23</f>
        <v>50575.45</v>
      </c>
      <c r="T84" s="169" t="s">
        <v>92</v>
      </c>
    </row>
    <row r="85" spans="2:20" ht="12" customHeight="1" x14ac:dyDescent="0.2">
      <c r="B85" s="107" t="s">
        <v>23</v>
      </c>
      <c r="C85" s="103"/>
      <c r="D85" s="146"/>
      <c r="E85" s="103"/>
      <c r="F85" s="103"/>
      <c r="G85" s="103" t="s">
        <v>91</v>
      </c>
      <c r="H85" s="103" t="s">
        <v>46</v>
      </c>
      <c r="I85" s="103" t="s">
        <v>47</v>
      </c>
      <c r="J85" s="106">
        <v>237</v>
      </c>
      <c r="K85" s="20" t="s">
        <v>32</v>
      </c>
      <c r="L85" s="106">
        <v>3391</v>
      </c>
      <c r="M85" s="106" t="s">
        <v>87</v>
      </c>
      <c r="N85" s="107"/>
      <c r="O85" s="108"/>
      <c r="P85" s="109"/>
      <c r="Q85" s="108"/>
      <c r="R85" s="110"/>
      <c r="S85" s="107">
        <f>18340.9+5435.79</f>
        <v>23776.690000000002</v>
      </c>
      <c r="T85" s="169" t="s">
        <v>95</v>
      </c>
    </row>
    <row r="86" spans="2:20" ht="12" customHeight="1" x14ac:dyDescent="0.2">
      <c r="B86" s="107" t="s">
        <v>23</v>
      </c>
      <c r="C86" s="103"/>
      <c r="D86" s="146"/>
      <c r="E86" s="103"/>
      <c r="F86" s="103"/>
      <c r="G86" s="103" t="s">
        <v>86</v>
      </c>
      <c r="H86" s="103" t="s">
        <v>46</v>
      </c>
      <c r="I86" s="103" t="s">
        <v>47</v>
      </c>
      <c r="J86" s="106">
        <v>237</v>
      </c>
      <c r="K86" s="20" t="s">
        <v>32</v>
      </c>
      <c r="L86" s="106">
        <v>3391</v>
      </c>
      <c r="M86" s="106" t="s">
        <v>87</v>
      </c>
      <c r="N86" s="127"/>
      <c r="O86" s="108"/>
      <c r="P86" s="107"/>
      <c r="Q86" s="108"/>
      <c r="R86" s="110"/>
      <c r="S86" s="107">
        <f>S79-SUM(S80:S82,S84:S85)</f>
        <v>1394664.612915792</v>
      </c>
      <c r="T86" s="169" t="s">
        <v>93</v>
      </c>
    </row>
    <row r="87" spans="2:20" ht="12" customHeight="1" x14ac:dyDescent="0.2">
      <c r="B87" s="114" t="s">
        <v>96</v>
      </c>
      <c r="C87" s="115"/>
      <c r="D87" s="145"/>
      <c r="E87" s="115"/>
      <c r="F87" s="115"/>
      <c r="G87" s="117"/>
      <c r="H87" s="117"/>
      <c r="I87" s="117"/>
      <c r="J87" s="116"/>
      <c r="K87" s="116"/>
      <c r="L87" s="118"/>
      <c r="M87" s="118"/>
      <c r="N87" s="116"/>
      <c r="O87" s="116"/>
      <c r="P87" s="116"/>
      <c r="Q87" s="116"/>
      <c r="R87" s="54"/>
      <c r="S87" s="119">
        <f>S79-SUM(S80:S82,S84:S86)</f>
        <v>0</v>
      </c>
      <c r="T87" s="168"/>
    </row>
    <row r="88" spans="2:20" ht="12" customHeight="1" x14ac:dyDescent="0.2">
      <c r="B88" s="120"/>
      <c r="C88" s="121"/>
      <c r="D88" s="148"/>
      <c r="E88" s="121"/>
      <c r="F88" s="121"/>
      <c r="G88" s="123"/>
      <c r="H88" s="123"/>
      <c r="I88" s="123"/>
      <c r="J88" s="122"/>
      <c r="K88" s="122"/>
      <c r="L88" s="124"/>
      <c r="M88" s="124"/>
      <c r="N88" s="122"/>
      <c r="O88" s="122"/>
      <c r="P88" s="122"/>
      <c r="Q88" s="122"/>
      <c r="R88" s="125"/>
      <c r="S88" s="126"/>
      <c r="T88" s="171"/>
    </row>
    <row r="89" spans="2:20" ht="12" customHeight="1" x14ac:dyDescent="0.2">
      <c r="B89" s="102" t="s">
        <v>20</v>
      </c>
      <c r="C89" s="196">
        <v>337</v>
      </c>
      <c r="D89" s="199">
        <v>43910</v>
      </c>
      <c r="E89" s="200">
        <v>990.68747441000005</v>
      </c>
      <c r="F89" s="201">
        <v>18000</v>
      </c>
      <c r="G89" s="49" t="s">
        <v>20</v>
      </c>
      <c r="H89" s="149"/>
      <c r="I89" s="149"/>
      <c r="J89" s="150"/>
      <c r="K89" s="150"/>
      <c r="L89" s="151"/>
      <c r="M89" s="150"/>
      <c r="N89" s="102"/>
      <c r="O89" s="152"/>
      <c r="P89" s="102"/>
      <c r="Q89" s="152"/>
      <c r="R89" s="153"/>
      <c r="S89" s="154">
        <f>E89*F89</f>
        <v>17832374.539379999</v>
      </c>
      <c r="T89" s="159"/>
    </row>
    <row r="90" spans="2:20" ht="12" customHeight="1" x14ac:dyDescent="0.2">
      <c r="B90" s="32" t="s">
        <v>20</v>
      </c>
      <c r="C90" s="38" t="s">
        <v>21</v>
      </c>
      <c r="D90" s="138"/>
      <c r="E90" s="34"/>
      <c r="F90" s="35"/>
      <c r="G90" s="37" t="s">
        <v>22</v>
      </c>
      <c r="H90" s="37"/>
      <c r="I90" s="37"/>
      <c r="J90" s="38"/>
      <c r="K90" s="38"/>
      <c r="L90" s="39"/>
      <c r="M90" s="38"/>
      <c r="N90" s="32"/>
      <c r="O90" s="40"/>
      <c r="P90" s="32"/>
      <c r="Q90" s="40"/>
      <c r="R90" s="41"/>
      <c r="S90" s="119">
        <f>SUM(S89:S89)</f>
        <v>17832374.539379999</v>
      </c>
      <c r="T90" s="159"/>
    </row>
    <row r="91" spans="2:20" ht="12" customHeight="1" x14ac:dyDescent="0.2">
      <c r="B91" s="20" t="s">
        <v>23</v>
      </c>
      <c r="C91" s="103"/>
      <c r="D91" s="173"/>
      <c r="E91" s="103"/>
      <c r="F91" s="103"/>
      <c r="G91" s="103" t="s">
        <v>24</v>
      </c>
      <c r="H91" s="103" t="s">
        <v>25</v>
      </c>
      <c r="I91" s="103" t="s">
        <v>26</v>
      </c>
      <c r="J91" s="20">
        <v>341</v>
      </c>
      <c r="K91" s="20" t="s">
        <v>27</v>
      </c>
      <c r="L91" s="106" t="s">
        <v>28</v>
      </c>
      <c r="M91" s="20" t="s">
        <v>29</v>
      </c>
      <c r="N91" s="127">
        <f>S90*1%</f>
        <v>178323.7453938</v>
      </c>
      <c r="O91" s="108">
        <v>0.1115</v>
      </c>
      <c r="P91" s="107">
        <f t="array" ref="P91">N91/(1-O91)</f>
        <v>200702.02070208217</v>
      </c>
      <c r="Q91" s="108">
        <v>6.1499999999999999E-2</v>
      </c>
      <c r="R91" s="110">
        <f>Q91*P91</f>
        <v>12343.174273178052</v>
      </c>
      <c r="S91" s="107">
        <f>P91*(1-Q91)</f>
        <v>188358.84642890413</v>
      </c>
      <c r="T91" s="169" t="s">
        <v>74</v>
      </c>
    </row>
    <row r="92" spans="2:20" ht="12" customHeight="1" x14ac:dyDescent="0.2">
      <c r="B92" s="107" t="s">
        <v>23</v>
      </c>
      <c r="C92" s="103"/>
      <c r="D92" s="173"/>
      <c r="E92" s="103"/>
      <c r="F92" s="103"/>
      <c r="G92" s="103" t="s">
        <v>30</v>
      </c>
      <c r="H92" s="103" t="s">
        <v>25</v>
      </c>
      <c r="I92" s="103" t="s">
        <v>26</v>
      </c>
      <c r="J92" s="20">
        <v>341</v>
      </c>
      <c r="K92" s="20" t="s">
        <v>27</v>
      </c>
      <c r="L92" s="106" t="s">
        <v>28</v>
      </c>
      <c r="M92" s="20" t="s">
        <v>29</v>
      </c>
      <c r="N92" s="127">
        <f>S90*1%</f>
        <v>178323.7453938</v>
      </c>
      <c r="O92" s="108">
        <v>0.1115</v>
      </c>
      <c r="P92" s="107">
        <f t="array" ref="P92">N92/(1-O92)</f>
        <v>200702.02070208217</v>
      </c>
      <c r="Q92" s="108">
        <v>6.1499999999999999E-2</v>
      </c>
      <c r="R92" s="110">
        <f t="array" ref="R92">Q92*P92</f>
        <v>12343.174273178052</v>
      </c>
      <c r="S92" s="107">
        <f t="shared" ref="S92" si="7">P92*(1-Q92)</f>
        <v>188358.84642890413</v>
      </c>
      <c r="T92" s="172" t="s">
        <v>74</v>
      </c>
    </row>
    <row r="93" spans="2:20" ht="12" customHeight="1" x14ac:dyDescent="0.2">
      <c r="B93" s="180" t="s">
        <v>52</v>
      </c>
      <c r="C93" s="174"/>
      <c r="D93" s="175"/>
      <c r="E93" s="174"/>
      <c r="F93" s="174"/>
      <c r="G93" s="36" t="s">
        <v>51</v>
      </c>
      <c r="H93" s="36"/>
      <c r="I93" s="36"/>
      <c r="J93" s="212"/>
      <c r="K93" s="212"/>
      <c r="L93" s="212"/>
      <c r="M93" s="212"/>
      <c r="N93" s="119"/>
      <c r="O93" s="155"/>
      <c r="P93" s="119"/>
      <c r="Q93" s="155"/>
      <c r="R93" s="156"/>
      <c r="S93" s="119">
        <f>SUM(S94:S94)</f>
        <v>24686.348546356105</v>
      </c>
      <c r="T93" s="176"/>
    </row>
    <row r="94" spans="2:20" ht="12" customHeight="1" x14ac:dyDescent="0.2">
      <c r="B94" s="179" t="s">
        <v>52</v>
      </c>
      <c r="C94" s="49"/>
      <c r="D94" s="145"/>
      <c r="E94" s="49"/>
      <c r="F94" s="49"/>
      <c r="G94" s="101" t="s">
        <v>53</v>
      </c>
      <c r="H94" s="49" t="s">
        <v>25</v>
      </c>
      <c r="I94" s="49" t="s">
        <v>26</v>
      </c>
      <c r="J94" s="213"/>
      <c r="K94" s="213"/>
      <c r="L94" s="213"/>
      <c r="M94" s="213"/>
      <c r="N94" s="48"/>
      <c r="O94" s="53"/>
      <c r="P94" s="102"/>
      <c r="Q94" s="53"/>
      <c r="R94" s="54"/>
      <c r="S94" s="48">
        <f>SUM(R91:R92)</f>
        <v>24686.348546356105</v>
      </c>
      <c r="T94" s="168"/>
    </row>
    <row r="95" spans="2:20" ht="12" customHeight="1" x14ac:dyDescent="0.2">
      <c r="B95" s="107" t="s">
        <v>23</v>
      </c>
      <c r="C95" s="103"/>
      <c r="D95" s="146"/>
      <c r="E95" s="103"/>
      <c r="F95" s="103"/>
      <c r="G95" s="103" t="s">
        <v>88</v>
      </c>
      <c r="H95" s="103" t="s">
        <v>46</v>
      </c>
      <c r="I95" s="103" t="s">
        <v>47</v>
      </c>
      <c r="J95" s="106">
        <v>237</v>
      </c>
      <c r="K95" s="20" t="s">
        <v>32</v>
      </c>
      <c r="L95" s="106">
        <v>3391</v>
      </c>
      <c r="M95" s="106" t="s">
        <v>87</v>
      </c>
      <c r="N95" s="107"/>
      <c r="O95" s="108"/>
      <c r="P95" s="109"/>
      <c r="Q95" s="108"/>
      <c r="R95" s="110"/>
      <c r="S95" s="107">
        <v>639111.03</v>
      </c>
      <c r="T95" s="169" t="s">
        <v>92</v>
      </c>
    </row>
    <row r="96" spans="2:20" ht="12" customHeight="1" x14ac:dyDescent="0.2">
      <c r="B96" s="107" t="s">
        <v>23</v>
      </c>
      <c r="C96" s="103"/>
      <c r="D96" s="146"/>
      <c r="E96" s="103"/>
      <c r="F96" s="103"/>
      <c r="G96" s="103" t="s">
        <v>86</v>
      </c>
      <c r="H96" s="103" t="s">
        <v>46</v>
      </c>
      <c r="I96" s="103" t="s">
        <v>47</v>
      </c>
      <c r="J96" s="106">
        <v>237</v>
      </c>
      <c r="K96" s="20" t="s">
        <v>32</v>
      </c>
      <c r="L96" s="106">
        <v>3391</v>
      </c>
      <c r="M96" s="106" t="s">
        <v>87</v>
      </c>
      <c r="N96" s="127"/>
      <c r="O96" s="108"/>
      <c r="P96" s="107"/>
      <c r="Q96" s="108"/>
      <c r="R96" s="110"/>
      <c r="S96" s="107">
        <f>S90-SUM(S91:S93,S95:S95)</f>
        <v>16791859.467975836</v>
      </c>
      <c r="T96" s="172" t="s">
        <v>93</v>
      </c>
    </row>
    <row r="97" spans="2:20" ht="12" customHeight="1" x14ac:dyDescent="0.2">
      <c r="B97" s="114" t="s">
        <v>96</v>
      </c>
      <c r="C97" s="115"/>
      <c r="D97" s="145"/>
      <c r="E97" s="115"/>
      <c r="F97" s="115"/>
      <c r="G97" s="117"/>
      <c r="H97" s="117"/>
      <c r="I97" s="117"/>
      <c r="J97" s="116"/>
      <c r="K97" s="116"/>
      <c r="L97" s="118"/>
      <c r="M97" s="118"/>
      <c r="N97" s="116"/>
      <c r="O97" s="116"/>
      <c r="P97" s="116"/>
      <c r="Q97" s="116"/>
      <c r="R97" s="54"/>
      <c r="S97" s="119">
        <f>S90-SUM(S91:S93,S95:S96)</f>
        <v>0</v>
      </c>
      <c r="T97" s="168"/>
    </row>
    <row r="98" spans="2:20" ht="12" customHeight="1" x14ac:dyDescent="0.2">
      <c r="B98" s="120"/>
      <c r="C98" s="121"/>
      <c r="D98" s="148"/>
      <c r="E98" s="121"/>
      <c r="F98" s="121"/>
      <c r="G98" s="123"/>
      <c r="H98" s="123"/>
      <c r="I98" s="123"/>
      <c r="J98" s="122"/>
      <c r="K98" s="122"/>
      <c r="L98" s="124"/>
      <c r="M98" s="124"/>
      <c r="N98" s="122"/>
      <c r="O98" s="122"/>
      <c r="P98" s="122"/>
      <c r="Q98" s="122"/>
      <c r="R98" s="125"/>
      <c r="S98" s="126"/>
      <c r="T98" s="171"/>
    </row>
    <row r="99" spans="2:20" ht="12" customHeight="1" x14ac:dyDescent="0.2">
      <c r="B99" s="102" t="s">
        <v>20</v>
      </c>
      <c r="C99" s="196">
        <v>339</v>
      </c>
      <c r="D99" s="199">
        <v>44042</v>
      </c>
      <c r="E99" s="200">
        <v>1000</v>
      </c>
      <c r="F99" s="201">
        <v>4000</v>
      </c>
      <c r="G99" s="49" t="s">
        <v>20</v>
      </c>
      <c r="H99" s="149"/>
      <c r="I99" s="149"/>
      <c r="J99" s="150"/>
      <c r="K99" s="150"/>
      <c r="L99" s="151"/>
      <c r="M99" s="150"/>
      <c r="N99" s="102"/>
      <c r="O99" s="152"/>
      <c r="P99" s="102"/>
      <c r="Q99" s="152"/>
      <c r="R99" s="153"/>
      <c r="S99" s="154">
        <f>E99*F99</f>
        <v>4000000</v>
      </c>
      <c r="T99" s="159"/>
    </row>
    <row r="100" spans="2:20" ht="12" customHeight="1" x14ac:dyDescent="0.2">
      <c r="B100" s="102" t="s">
        <v>20</v>
      </c>
      <c r="C100" s="196">
        <v>340</v>
      </c>
      <c r="D100" s="199">
        <v>44042</v>
      </c>
      <c r="E100" s="200">
        <v>1000</v>
      </c>
      <c r="F100" s="201">
        <v>4000</v>
      </c>
      <c r="G100" s="49" t="s">
        <v>20</v>
      </c>
      <c r="H100" s="149"/>
      <c r="I100" s="149"/>
      <c r="J100" s="150"/>
      <c r="K100" s="150"/>
      <c r="L100" s="151"/>
      <c r="M100" s="150"/>
      <c r="N100" s="102"/>
      <c r="O100" s="152"/>
      <c r="P100" s="102"/>
      <c r="Q100" s="152"/>
      <c r="R100" s="153"/>
      <c r="S100" s="154">
        <f>E100*F100</f>
        <v>4000000</v>
      </c>
      <c r="T100" s="159"/>
    </row>
    <row r="101" spans="2:20" ht="12" customHeight="1" x14ac:dyDescent="0.2">
      <c r="B101" s="32" t="s">
        <v>20</v>
      </c>
      <c r="C101" s="38" t="s">
        <v>21</v>
      </c>
      <c r="D101" s="138"/>
      <c r="E101" s="34"/>
      <c r="F101" s="35"/>
      <c r="G101" s="37" t="s">
        <v>22</v>
      </c>
      <c r="H101" s="37"/>
      <c r="I101" s="37"/>
      <c r="J101" s="38"/>
      <c r="K101" s="38"/>
      <c r="L101" s="39"/>
      <c r="M101" s="38"/>
      <c r="N101" s="32"/>
      <c r="O101" s="40"/>
      <c r="P101" s="32"/>
      <c r="Q101" s="40"/>
      <c r="R101" s="41"/>
      <c r="S101" s="119">
        <f>SUM(S99:S100)</f>
        <v>8000000</v>
      </c>
      <c r="T101" s="159"/>
    </row>
    <row r="102" spans="2:20" ht="12" customHeight="1" x14ac:dyDescent="0.2">
      <c r="B102" s="20" t="s">
        <v>23</v>
      </c>
      <c r="C102" s="103"/>
      <c r="D102" s="173"/>
      <c r="E102" s="103"/>
      <c r="F102" s="103"/>
      <c r="G102" s="103" t="s">
        <v>24</v>
      </c>
      <c r="H102" s="103" t="s">
        <v>25</v>
      </c>
      <c r="I102" s="103" t="s">
        <v>26</v>
      </c>
      <c r="J102" s="20">
        <v>341</v>
      </c>
      <c r="K102" s="20" t="s">
        <v>27</v>
      </c>
      <c r="L102" s="106" t="s">
        <v>28</v>
      </c>
      <c r="M102" s="20" t="s">
        <v>29</v>
      </c>
      <c r="N102" s="127">
        <f>S101*1%</f>
        <v>80000</v>
      </c>
      <c r="O102" s="108">
        <v>0.1115</v>
      </c>
      <c r="P102" s="107">
        <f t="array" ref="P102">N102/(1-O102)</f>
        <v>90039.39223410243</v>
      </c>
      <c r="Q102" s="108">
        <v>6.1499999999999999E-2</v>
      </c>
      <c r="R102" s="110">
        <f>Q102*P102</f>
        <v>5537.4226223972992</v>
      </c>
      <c r="S102" s="107">
        <f>P102*(1-Q102)</f>
        <v>84501.969611705135</v>
      </c>
      <c r="T102" s="169" t="s">
        <v>74</v>
      </c>
    </row>
    <row r="103" spans="2:20" ht="12" customHeight="1" x14ac:dyDescent="0.2">
      <c r="B103" s="107" t="s">
        <v>23</v>
      </c>
      <c r="C103" s="103"/>
      <c r="D103" s="173"/>
      <c r="E103" s="103"/>
      <c r="F103" s="103"/>
      <c r="G103" s="103" t="s">
        <v>30</v>
      </c>
      <c r="H103" s="103" t="s">
        <v>25</v>
      </c>
      <c r="I103" s="103" t="s">
        <v>26</v>
      </c>
      <c r="J103" s="20">
        <v>341</v>
      </c>
      <c r="K103" s="20" t="s">
        <v>27</v>
      </c>
      <c r="L103" s="106" t="s">
        <v>28</v>
      </c>
      <c r="M103" s="20" t="s">
        <v>29</v>
      </c>
      <c r="N103" s="127">
        <f>S101*1%</f>
        <v>80000</v>
      </c>
      <c r="O103" s="108">
        <v>0.1115</v>
      </c>
      <c r="P103" s="107">
        <f t="array" ref="P103">N103/(1-O103)</f>
        <v>90039.39223410243</v>
      </c>
      <c r="Q103" s="108">
        <v>6.1499999999999999E-2</v>
      </c>
      <c r="R103" s="110">
        <f t="array" ref="R103">Q103*P103</f>
        <v>5537.4226223972992</v>
      </c>
      <c r="S103" s="107">
        <f t="shared" ref="S103" si="8">P103*(1-Q103)</f>
        <v>84501.969611705135</v>
      </c>
      <c r="T103" s="172" t="s">
        <v>74</v>
      </c>
    </row>
    <row r="104" spans="2:20" ht="12" customHeight="1" x14ac:dyDescent="0.2">
      <c r="B104" s="182" t="s">
        <v>52</v>
      </c>
      <c r="C104" s="174"/>
      <c r="D104" s="175"/>
      <c r="E104" s="174"/>
      <c r="F104" s="174"/>
      <c r="G104" s="36" t="s">
        <v>51</v>
      </c>
      <c r="H104" s="36"/>
      <c r="I104" s="36"/>
      <c r="J104" s="212"/>
      <c r="K104" s="212"/>
      <c r="L104" s="212"/>
      <c r="M104" s="212"/>
      <c r="N104" s="119"/>
      <c r="O104" s="155"/>
      <c r="P104" s="119"/>
      <c r="Q104" s="155"/>
      <c r="R104" s="156"/>
      <c r="S104" s="119">
        <f>SUM(S105:S105)</f>
        <v>11074.845244794598</v>
      </c>
      <c r="T104" s="176"/>
    </row>
    <row r="105" spans="2:20" ht="12" customHeight="1" x14ac:dyDescent="0.2">
      <c r="B105" s="181" t="s">
        <v>52</v>
      </c>
      <c r="C105" s="49"/>
      <c r="D105" s="145"/>
      <c r="E105" s="49"/>
      <c r="F105" s="49"/>
      <c r="G105" s="101" t="s">
        <v>53</v>
      </c>
      <c r="H105" s="49" t="s">
        <v>25</v>
      </c>
      <c r="I105" s="49" t="s">
        <v>26</v>
      </c>
      <c r="J105" s="213"/>
      <c r="K105" s="213"/>
      <c r="L105" s="213"/>
      <c r="M105" s="213"/>
      <c r="N105" s="48"/>
      <c r="O105" s="53"/>
      <c r="P105" s="102"/>
      <c r="Q105" s="53"/>
      <c r="R105" s="54"/>
      <c r="S105" s="48">
        <f>SUM(R102:R103)</f>
        <v>11074.845244794598</v>
      </c>
      <c r="T105" s="168"/>
    </row>
    <row r="106" spans="2:20" ht="12" customHeight="1" x14ac:dyDescent="0.2">
      <c r="B106" s="107" t="s">
        <v>23</v>
      </c>
      <c r="C106" s="103"/>
      <c r="D106" s="146"/>
      <c r="E106" s="103"/>
      <c r="F106" s="103"/>
      <c r="G106" s="103" t="s">
        <v>91</v>
      </c>
      <c r="H106" s="103" t="s">
        <v>46</v>
      </c>
      <c r="I106" s="103" t="s">
        <v>47</v>
      </c>
      <c r="J106" s="106">
        <v>237</v>
      </c>
      <c r="K106" s="20" t="s">
        <v>32</v>
      </c>
      <c r="L106" s="106">
        <v>3391</v>
      </c>
      <c r="M106" s="106" t="s">
        <v>87</v>
      </c>
      <c r="N106" s="107"/>
      <c r="O106" s="108"/>
      <c r="P106" s="109"/>
      <c r="Q106" s="108"/>
      <c r="R106" s="110"/>
      <c r="S106" s="107">
        <v>0</v>
      </c>
      <c r="T106" s="169" t="s">
        <v>95</v>
      </c>
    </row>
    <row r="107" spans="2:20" ht="12" customHeight="1" x14ac:dyDescent="0.2">
      <c r="B107" s="107" t="s">
        <v>23</v>
      </c>
      <c r="C107" s="103"/>
      <c r="D107" s="146"/>
      <c r="E107" s="103"/>
      <c r="F107" s="103"/>
      <c r="G107" s="103" t="s">
        <v>88</v>
      </c>
      <c r="H107" s="103" t="s">
        <v>46</v>
      </c>
      <c r="I107" s="103" t="s">
        <v>47</v>
      </c>
      <c r="J107" s="106">
        <v>237</v>
      </c>
      <c r="K107" s="20" t="s">
        <v>32</v>
      </c>
      <c r="L107" s="106">
        <v>3391</v>
      </c>
      <c r="M107" s="106" t="s">
        <v>87</v>
      </c>
      <c r="N107" s="107"/>
      <c r="O107" s="108"/>
      <c r="P107" s="109"/>
      <c r="Q107" s="108"/>
      <c r="R107" s="110"/>
      <c r="S107" s="107">
        <v>0</v>
      </c>
      <c r="T107" s="169" t="s">
        <v>92</v>
      </c>
    </row>
    <row r="108" spans="2:20" ht="12" customHeight="1" x14ac:dyDescent="0.2">
      <c r="B108" s="107" t="s">
        <v>23</v>
      </c>
      <c r="C108" s="103"/>
      <c r="D108" s="146"/>
      <c r="E108" s="103"/>
      <c r="F108" s="103"/>
      <c r="G108" s="103" t="s">
        <v>86</v>
      </c>
      <c r="H108" s="103" t="s">
        <v>46</v>
      </c>
      <c r="I108" s="103" t="s">
        <v>47</v>
      </c>
      <c r="J108" s="106">
        <v>237</v>
      </c>
      <c r="K108" s="20" t="s">
        <v>32</v>
      </c>
      <c r="L108" s="106">
        <v>3391</v>
      </c>
      <c r="M108" s="106" t="s">
        <v>87</v>
      </c>
      <c r="N108" s="127"/>
      <c r="O108" s="108"/>
      <c r="P108" s="107"/>
      <c r="Q108" s="108"/>
      <c r="R108" s="110"/>
      <c r="S108" s="107">
        <f>S101-SUM(S102:S104,S106:S107)</f>
        <v>7819921.2155317953</v>
      </c>
      <c r="T108" s="172" t="s">
        <v>93</v>
      </c>
    </row>
    <row r="109" spans="2:20" ht="12" customHeight="1" x14ac:dyDescent="0.2">
      <c r="B109" s="114" t="s">
        <v>96</v>
      </c>
      <c r="C109" s="115"/>
      <c r="D109" s="145"/>
      <c r="E109" s="115"/>
      <c r="F109" s="115"/>
      <c r="G109" s="117"/>
      <c r="H109" s="117"/>
      <c r="I109" s="117"/>
      <c r="J109" s="116"/>
      <c r="K109" s="116"/>
      <c r="L109" s="118"/>
      <c r="M109" s="118"/>
      <c r="N109" s="116"/>
      <c r="O109" s="116"/>
      <c r="P109" s="116"/>
      <c r="Q109" s="116"/>
      <c r="R109" s="54"/>
      <c r="S109" s="119">
        <f>S101-SUM(S102:S104,S106:S108)</f>
        <v>0</v>
      </c>
      <c r="T109" s="168"/>
    </row>
    <row r="110" spans="2:20" ht="12" customHeight="1" x14ac:dyDescent="0.2">
      <c r="B110" s="120"/>
      <c r="C110" s="121"/>
      <c r="D110" s="148"/>
      <c r="E110" s="121"/>
      <c r="F110" s="121"/>
      <c r="G110" s="123"/>
      <c r="H110" s="123"/>
      <c r="I110" s="123"/>
      <c r="J110" s="122"/>
      <c r="K110" s="122"/>
      <c r="L110" s="124"/>
      <c r="M110" s="124"/>
      <c r="N110" s="122"/>
      <c r="O110" s="122"/>
      <c r="P110" s="122"/>
      <c r="Q110" s="122"/>
      <c r="R110" s="125"/>
      <c r="S110" s="126"/>
      <c r="T110" s="171"/>
    </row>
    <row r="111" spans="2:20" ht="12" customHeight="1" x14ac:dyDescent="0.2">
      <c r="B111" s="102" t="s">
        <v>20</v>
      </c>
      <c r="C111" s="196">
        <v>340</v>
      </c>
      <c r="D111" s="199">
        <v>44046</v>
      </c>
      <c r="E111" s="200">
        <v>1002.5683733</v>
      </c>
      <c r="F111" s="201">
        <v>1425</v>
      </c>
      <c r="G111" s="49" t="s">
        <v>20</v>
      </c>
      <c r="H111" s="149"/>
      <c r="I111" s="149"/>
      <c r="J111" s="150"/>
      <c r="K111" s="150"/>
      <c r="L111" s="151"/>
      <c r="M111" s="150"/>
      <c r="N111" s="102"/>
      <c r="O111" s="152"/>
      <c r="P111" s="102"/>
      <c r="Q111" s="152"/>
      <c r="R111" s="153"/>
      <c r="S111" s="154">
        <f>E111*F111</f>
        <v>1428659.9319525</v>
      </c>
      <c r="T111" s="159"/>
    </row>
    <row r="112" spans="2:20" ht="12" customHeight="1" x14ac:dyDescent="0.2">
      <c r="B112" s="32" t="s">
        <v>20</v>
      </c>
      <c r="C112" s="38" t="s">
        <v>21</v>
      </c>
      <c r="D112" s="138"/>
      <c r="E112" s="34"/>
      <c r="F112" s="35"/>
      <c r="G112" s="37" t="s">
        <v>22</v>
      </c>
      <c r="H112" s="37"/>
      <c r="I112" s="37"/>
      <c r="J112" s="38"/>
      <c r="K112" s="38"/>
      <c r="L112" s="39"/>
      <c r="M112" s="38"/>
      <c r="N112" s="32"/>
      <c r="O112" s="40"/>
      <c r="P112" s="32"/>
      <c r="Q112" s="40"/>
      <c r="R112" s="41"/>
      <c r="S112" s="119">
        <f>SUM(S111:S111)</f>
        <v>1428659.9319525</v>
      </c>
      <c r="T112" s="159"/>
    </row>
    <row r="113" spans="2:20" ht="12" customHeight="1" x14ac:dyDescent="0.2">
      <c r="B113" s="20" t="s">
        <v>23</v>
      </c>
      <c r="C113" s="103"/>
      <c r="D113" s="173"/>
      <c r="E113" s="103"/>
      <c r="F113" s="103"/>
      <c r="G113" s="103" t="s">
        <v>24</v>
      </c>
      <c r="H113" s="103" t="s">
        <v>25</v>
      </c>
      <c r="I113" s="103" t="s">
        <v>26</v>
      </c>
      <c r="J113" s="20">
        <v>341</v>
      </c>
      <c r="K113" s="20" t="s">
        <v>27</v>
      </c>
      <c r="L113" s="106" t="s">
        <v>28</v>
      </c>
      <c r="M113" s="20" t="s">
        <v>29</v>
      </c>
      <c r="N113" s="127">
        <f>S112*1%</f>
        <v>14286.599319525001</v>
      </c>
      <c r="O113" s="108">
        <v>0.1115</v>
      </c>
      <c r="P113" s="107">
        <f t="array" ref="P113">N113/(1-O113)</f>
        <v>16079.458997777154</v>
      </c>
      <c r="Q113" s="108">
        <v>6.1499999999999999E-2</v>
      </c>
      <c r="R113" s="110">
        <f>Q113*P113</f>
        <v>988.88672836329499</v>
      </c>
      <c r="S113" s="107">
        <f>P113*(1-Q113)</f>
        <v>15090.572269413859</v>
      </c>
      <c r="T113" s="169" t="s">
        <v>74</v>
      </c>
    </row>
    <row r="114" spans="2:20" ht="12" customHeight="1" x14ac:dyDescent="0.2">
      <c r="B114" s="107" t="s">
        <v>23</v>
      </c>
      <c r="C114" s="103"/>
      <c r="D114" s="173"/>
      <c r="E114" s="103"/>
      <c r="F114" s="103"/>
      <c r="G114" s="103" t="s">
        <v>30</v>
      </c>
      <c r="H114" s="103" t="s">
        <v>25</v>
      </c>
      <c r="I114" s="103" t="s">
        <v>26</v>
      </c>
      <c r="J114" s="20">
        <v>341</v>
      </c>
      <c r="K114" s="20" t="s">
        <v>27</v>
      </c>
      <c r="L114" s="106" t="s">
        <v>28</v>
      </c>
      <c r="M114" s="20" t="s">
        <v>29</v>
      </c>
      <c r="N114" s="127">
        <f>S112*1%</f>
        <v>14286.599319525001</v>
      </c>
      <c r="O114" s="108">
        <v>0.1115</v>
      </c>
      <c r="P114" s="107">
        <f t="array" ref="P114">N114/(1-O114)</f>
        <v>16079.458997777154</v>
      </c>
      <c r="Q114" s="108">
        <v>6.1499999999999999E-2</v>
      </c>
      <c r="R114" s="110">
        <f t="array" ref="R114">Q114*P114</f>
        <v>988.88672836329499</v>
      </c>
      <c r="S114" s="107">
        <f t="shared" ref="S114" si="9">P114*(1-Q114)</f>
        <v>15090.572269413859</v>
      </c>
      <c r="T114" s="172" t="s">
        <v>74</v>
      </c>
    </row>
    <row r="115" spans="2:20" ht="12" customHeight="1" x14ac:dyDescent="0.2">
      <c r="B115" s="183" t="s">
        <v>52</v>
      </c>
      <c r="C115" s="174"/>
      <c r="D115" s="175"/>
      <c r="E115" s="174"/>
      <c r="F115" s="174"/>
      <c r="G115" s="36" t="s">
        <v>51</v>
      </c>
      <c r="H115" s="36"/>
      <c r="I115" s="36"/>
      <c r="J115" s="212"/>
      <c r="K115" s="212"/>
      <c r="L115" s="212"/>
      <c r="M115" s="212"/>
      <c r="N115" s="119"/>
      <c r="O115" s="155"/>
      <c r="P115" s="119"/>
      <c r="Q115" s="155"/>
      <c r="R115" s="156"/>
      <c r="S115" s="119">
        <f>SUM(S116:S116)</f>
        <v>1977.77345672659</v>
      </c>
      <c r="T115" s="176"/>
    </row>
    <row r="116" spans="2:20" ht="12" customHeight="1" x14ac:dyDescent="0.2">
      <c r="B116" s="184" t="s">
        <v>52</v>
      </c>
      <c r="C116" s="49"/>
      <c r="D116" s="145"/>
      <c r="E116" s="49"/>
      <c r="F116" s="49"/>
      <c r="G116" s="101" t="s">
        <v>53</v>
      </c>
      <c r="H116" s="49" t="s">
        <v>25</v>
      </c>
      <c r="I116" s="49" t="s">
        <v>26</v>
      </c>
      <c r="J116" s="213"/>
      <c r="K116" s="213"/>
      <c r="L116" s="213"/>
      <c r="M116" s="213"/>
      <c r="N116" s="48"/>
      <c r="O116" s="53"/>
      <c r="P116" s="102"/>
      <c r="Q116" s="53"/>
      <c r="R116" s="54"/>
      <c r="S116" s="48">
        <f>SUM(R113:R114)</f>
        <v>1977.77345672659</v>
      </c>
      <c r="T116" s="168"/>
    </row>
    <row r="117" spans="2:20" ht="12" customHeight="1" x14ac:dyDescent="0.2">
      <c r="B117" s="107" t="s">
        <v>23</v>
      </c>
      <c r="C117" s="103"/>
      <c r="D117" s="146"/>
      <c r="E117" s="103"/>
      <c r="F117" s="103"/>
      <c r="G117" s="103" t="s">
        <v>91</v>
      </c>
      <c r="H117" s="103" t="s">
        <v>46</v>
      </c>
      <c r="I117" s="103" t="s">
        <v>47</v>
      </c>
      <c r="J117" s="106">
        <v>237</v>
      </c>
      <c r="K117" s="20" t="s">
        <v>32</v>
      </c>
      <c r="L117" s="106">
        <v>3391</v>
      </c>
      <c r="M117" s="106" t="s">
        <v>87</v>
      </c>
      <c r="N117" s="107"/>
      <c r="O117" s="108"/>
      <c r="P117" s="109"/>
      <c r="Q117" s="108"/>
      <c r="R117" s="110"/>
      <c r="S117" s="107">
        <v>0</v>
      </c>
      <c r="T117" s="169" t="s">
        <v>95</v>
      </c>
    </row>
    <row r="118" spans="2:20" ht="12" customHeight="1" x14ac:dyDescent="0.2">
      <c r="B118" s="107" t="s">
        <v>23</v>
      </c>
      <c r="C118" s="103"/>
      <c r="D118" s="146"/>
      <c r="E118" s="103"/>
      <c r="F118" s="103"/>
      <c r="G118" s="103" t="s">
        <v>88</v>
      </c>
      <c r="H118" s="103" t="s">
        <v>46</v>
      </c>
      <c r="I118" s="103" t="s">
        <v>47</v>
      </c>
      <c r="J118" s="106">
        <v>237</v>
      </c>
      <c r="K118" s="20" t="s">
        <v>32</v>
      </c>
      <c r="L118" s="106">
        <v>3391</v>
      </c>
      <c r="M118" s="106" t="s">
        <v>87</v>
      </c>
      <c r="N118" s="107"/>
      <c r="O118" s="108"/>
      <c r="P118" s="109"/>
      <c r="Q118" s="108"/>
      <c r="R118" s="110"/>
      <c r="S118" s="107">
        <v>0</v>
      </c>
      <c r="T118" s="169" t="s">
        <v>92</v>
      </c>
    </row>
    <row r="119" spans="2:20" ht="12" customHeight="1" x14ac:dyDescent="0.2">
      <c r="B119" s="107" t="s">
        <v>23</v>
      </c>
      <c r="C119" s="103"/>
      <c r="D119" s="146"/>
      <c r="E119" s="103"/>
      <c r="F119" s="103"/>
      <c r="G119" s="103" t="s">
        <v>86</v>
      </c>
      <c r="H119" s="103" t="s">
        <v>46</v>
      </c>
      <c r="I119" s="103" t="s">
        <v>47</v>
      </c>
      <c r="J119" s="106">
        <v>237</v>
      </c>
      <c r="K119" s="20" t="s">
        <v>32</v>
      </c>
      <c r="L119" s="106">
        <v>3391</v>
      </c>
      <c r="M119" s="106" t="s">
        <v>87</v>
      </c>
      <c r="N119" s="127"/>
      <c r="O119" s="108"/>
      <c r="P119" s="107"/>
      <c r="Q119" s="108"/>
      <c r="R119" s="110"/>
      <c r="S119" s="107">
        <f>S112-SUM(S113:S115,S117:S118)</f>
        <v>1396501.0139569456</v>
      </c>
      <c r="T119" s="172" t="s">
        <v>93</v>
      </c>
    </row>
    <row r="120" spans="2:20" ht="12" customHeight="1" x14ac:dyDescent="0.2">
      <c r="B120" s="114" t="s">
        <v>96</v>
      </c>
      <c r="C120" s="115"/>
      <c r="D120" s="145"/>
      <c r="E120" s="115"/>
      <c r="F120" s="115"/>
      <c r="G120" s="117"/>
      <c r="H120" s="117"/>
      <c r="I120" s="117"/>
      <c r="J120" s="116"/>
      <c r="K120" s="116"/>
      <c r="L120" s="118"/>
      <c r="M120" s="118"/>
      <c r="N120" s="116"/>
      <c r="O120" s="116"/>
      <c r="P120" s="116"/>
      <c r="Q120" s="116"/>
      <c r="R120" s="54"/>
      <c r="S120" s="119">
        <f>S112-SUM(S113:S115,S117:S119)</f>
        <v>0</v>
      </c>
      <c r="T120" s="168"/>
    </row>
    <row r="121" spans="2:20" ht="12" customHeight="1" x14ac:dyDescent="0.2">
      <c r="B121" s="120"/>
      <c r="C121" s="121"/>
      <c r="D121" s="148"/>
      <c r="E121" s="121"/>
      <c r="F121" s="121"/>
      <c r="G121" s="123"/>
      <c r="H121" s="123"/>
      <c r="I121" s="123"/>
      <c r="J121" s="122"/>
      <c r="K121" s="122"/>
      <c r="L121" s="124"/>
      <c r="M121" s="124"/>
      <c r="N121" s="122"/>
      <c r="O121" s="122"/>
      <c r="P121" s="122"/>
      <c r="Q121" s="122"/>
      <c r="R121" s="125"/>
      <c r="S121" s="126"/>
      <c r="T121" s="171"/>
    </row>
    <row r="122" spans="2:20" ht="12" customHeight="1" x14ac:dyDescent="0.2">
      <c r="B122" s="102" t="s">
        <v>20</v>
      </c>
      <c r="C122" s="196">
        <v>339</v>
      </c>
      <c r="D122" s="199">
        <v>44085</v>
      </c>
      <c r="E122" s="200">
        <v>1012.90914922</v>
      </c>
      <c r="F122" s="201">
        <v>6075</v>
      </c>
      <c r="G122" s="49" t="s">
        <v>20</v>
      </c>
      <c r="H122" s="149"/>
      <c r="I122" s="149"/>
      <c r="J122" s="150"/>
      <c r="K122" s="150"/>
      <c r="L122" s="151"/>
      <c r="M122" s="150"/>
      <c r="N122" s="102"/>
      <c r="O122" s="152"/>
      <c r="P122" s="102"/>
      <c r="Q122" s="152"/>
      <c r="R122" s="153"/>
      <c r="S122" s="154">
        <f>E122*F122</f>
        <v>6153423.0815115003</v>
      </c>
      <c r="T122" s="159"/>
    </row>
    <row r="123" spans="2:20" ht="12" customHeight="1" x14ac:dyDescent="0.2">
      <c r="B123" s="32" t="s">
        <v>20</v>
      </c>
      <c r="C123" s="38" t="s">
        <v>21</v>
      </c>
      <c r="D123" s="138"/>
      <c r="E123" s="34"/>
      <c r="F123" s="35"/>
      <c r="G123" s="37" t="s">
        <v>22</v>
      </c>
      <c r="H123" s="37"/>
      <c r="I123" s="37"/>
      <c r="J123" s="38"/>
      <c r="K123" s="38"/>
      <c r="L123" s="39"/>
      <c r="M123" s="38"/>
      <c r="N123" s="32"/>
      <c r="O123" s="40"/>
      <c r="P123" s="32"/>
      <c r="Q123" s="40"/>
      <c r="R123" s="41"/>
      <c r="S123" s="119">
        <f>SUM(S122:S122)</f>
        <v>6153423.0815115003</v>
      </c>
      <c r="T123" s="159"/>
    </row>
    <row r="124" spans="2:20" ht="12" customHeight="1" x14ac:dyDescent="0.2">
      <c r="B124" s="20" t="s">
        <v>23</v>
      </c>
      <c r="C124" s="103"/>
      <c r="D124" s="173"/>
      <c r="E124" s="103"/>
      <c r="F124" s="103"/>
      <c r="G124" s="103" t="s">
        <v>24</v>
      </c>
      <c r="H124" s="103" t="s">
        <v>25</v>
      </c>
      <c r="I124" s="103" t="s">
        <v>26</v>
      </c>
      <c r="J124" s="20">
        <v>341</v>
      </c>
      <c r="K124" s="20" t="s">
        <v>27</v>
      </c>
      <c r="L124" s="106" t="s">
        <v>28</v>
      </c>
      <c r="M124" s="20" t="s">
        <v>29</v>
      </c>
      <c r="N124" s="127">
        <f>S123*1%</f>
        <v>61534.230815115006</v>
      </c>
      <c r="O124" s="108">
        <v>0.1115</v>
      </c>
      <c r="P124" s="107">
        <f t="array" ref="P124">N124/(1-O124)</f>
        <v>69256.309302324153</v>
      </c>
      <c r="Q124" s="108">
        <v>6.1499999999999999E-2</v>
      </c>
      <c r="R124" s="110">
        <f>Q124*P124</f>
        <v>4259.263022092935</v>
      </c>
      <c r="S124" s="107">
        <f>P124*(1-Q124)</f>
        <v>64997.046280231218</v>
      </c>
      <c r="T124" s="169" t="s">
        <v>74</v>
      </c>
    </row>
    <row r="125" spans="2:20" ht="12" customHeight="1" x14ac:dyDescent="0.2">
      <c r="B125" s="107" t="s">
        <v>23</v>
      </c>
      <c r="C125" s="103"/>
      <c r="D125" s="173"/>
      <c r="E125" s="103"/>
      <c r="F125" s="103"/>
      <c r="G125" s="103" t="s">
        <v>30</v>
      </c>
      <c r="H125" s="103" t="s">
        <v>25</v>
      </c>
      <c r="I125" s="103" t="s">
        <v>26</v>
      </c>
      <c r="J125" s="20">
        <v>341</v>
      </c>
      <c r="K125" s="20" t="s">
        <v>27</v>
      </c>
      <c r="L125" s="106" t="s">
        <v>28</v>
      </c>
      <c r="M125" s="20" t="s">
        <v>29</v>
      </c>
      <c r="N125" s="127">
        <f>S123*1%</f>
        <v>61534.230815115006</v>
      </c>
      <c r="O125" s="108">
        <v>0.1115</v>
      </c>
      <c r="P125" s="107">
        <f t="array" ref="P125">N125/(1-O125)</f>
        <v>69256.309302324153</v>
      </c>
      <c r="Q125" s="108">
        <v>6.1499999999999999E-2</v>
      </c>
      <c r="R125" s="110">
        <f t="array" ref="R125">Q125*P125</f>
        <v>4259.263022092935</v>
      </c>
      <c r="S125" s="107">
        <f t="shared" ref="S125" si="10">P125*(1-Q125)</f>
        <v>64997.046280231218</v>
      </c>
      <c r="T125" s="172" t="s">
        <v>74</v>
      </c>
    </row>
    <row r="126" spans="2:20" ht="12" customHeight="1" x14ac:dyDescent="0.2">
      <c r="B126" s="185" t="s">
        <v>52</v>
      </c>
      <c r="C126" s="174"/>
      <c r="D126" s="175"/>
      <c r="E126" s="174"/>
      <c r="F126" s="174"/>
      <c r="G126" s="36" t="s">
        <v>51</v>
      </c>
      <c r="H126" s="36"/>
      <c r="I126" s="36"/>
      <c r="J126" s="212"/>
      <c r="K126" s="212"/>
      <c r="L126" s="212"/>
      <c r="M126" s="212"/>
      <c r="N126" s="119"/>
      <c r="O126" s="155"/>
      <c r="P126" s="119"/>
      <c r="Q126" s="155"/>
      <c r="R126" s="156"/>
      <c r="S126" s="119">
        <f>SUM(S127:S127)</f>
        <v>8518.52604418587</v>
      </c>
      <c r="T126" s="176"/>
    </row>
    <row r="127" spans="2:20" ht="12" customHeight="1" x14ac:dyDescent="0.2">
      <c r="B127" s="186" t="s">
        <v>52</v>
      </c>
      <c r="C127" s="49"/>
      <c r="D127" s="145"/>
      <c r="E127" s="49"/>
      <c r="F127" s="49"/>
      <c r="G127" s="101" t="s">
        <v>53</v>
      </c>
      <c r="H127" s="49" t="s">
        <v>25</v>
      </c>
      <c r="I127" s="49" t="s">
        <v>26</v>
      </c>
      <c r="J127" s="213"/>
      <c r="K127" s="213"/>
      <c r="L127" s="213"/>
      <c r="M127" s="213"/>
      <c r="N127" s="48"/>
      <c r="O127" s="53"/>
      <c r="P127" s="102"/>
      <c r="Q127" s="53"/>
      <c r="R127" s="54"/>
      <c r="S127" s="48">
        <f>SUM(R124:R125)</f>
        <v>8518.52604418587</v>
      </c>
      <c r="T127" s="168"/>
    </row>
    <row r="128" spans="2:20" ht="12" customHeight="1" x14ac:dyDescent="0.2">
      <c r="B128" s="107" t="s">
        <v>23</v>
      </c>
      <c r="C128" s="103"/>
      <c r="D128" s="146"/>
      <c r="E128" s="103"/>
      <c r="F128" s="103"/>
      <c r="G128" s="103" t="s">
        <v>91</v>
      </c>
      <c r="H128" s="103" t="s">
        <v>46</v>
      </c>
      <c r="I128" s="103" t="s">
        <v>47</v>
      </c>
      <c r="J128" s="106">
        <v>237</v>
      </c>
      <c r="K128" s="20" t="s">
        <v>32</v>
      </c>
      <c r="L128" s="106">
        <v>3391</v>
      </c>
      <c r="M128" s="106" t="s">
        <v>87</v>
      </c>
      <c r="N128" s="107"/>
      <c r="O128" s="108"/>
      <c r="P128" s="109"/>
      <c r="Q128" s="108"/>
      <c r="R128" s="110"/>
      <c r="S128" s="107">
        <v>0</v>
      </c>
      <c r="T128" s="169" t="s">
        <v>95</v>
      </c>
    </row>
    <row r="129" spans="2:20" ht="12" customHeight="1" x14ac:dyDescent="0.2">
      <c r="B129" s="107" t="s">
        <v>23</v>
      </c>
      <c r="C129" s="103"/>
      <c r="D129" s="146"/>
      <c r="E129" s="103"/>
      <c r="F129" s="103"/>
      <c r="G129" s="103" t="s">
        <v>88</v>
      </c>
      <c r="H129" s="103" t="s">
        <v>46</v>
      </c>
      <c r="I129" s="103" t="s">
        <v>47</v>
      </c>
      <c r="J129" s="106">
        <v>237</v>
      </c>
      <c r="K129" s="20" t="s">
        <v>32</v>
      </c>
      <c r="L129" s="106">
        <v>3391</v>
      </c>
      <c r="M129" s="106" t="s">
        <v>87</v>
      </c>
      <c r="N129" s="107"/>
      <c r="O129" s="108"/>
      <c r="P129" s="109"/>
      <c r="Q129" s="108"/>
      <c r="R129" s="110"/>
      <c r="S129" s="107">
        <v>0</v>
      </c>
      <c r="T129" s="169" t="s">
        <v>92</v>
      </c>
    </row>
    <row r="130" spans="2:20" ht="12" customHeight="1" x14ac:dyDescent="0.2">
      <c r="B130" s="107" t="s">
        <v>23</v>
      </c>
      <c r="C130" s="103"/>
      <c r="D130" s="146"/>
      <c r="E130" s="103"/>
      <c r="F130" s="103"/>
      <c r="G130" s="103" t="s">
        <v>86</v>
      </c>
      <c r="H130" s="103" t="s">
        <v>46</v>
      </c>
      <c r="I130" s="103" t="s">
        <v>47</v>
      </c>
      <c r="J130" s="106">
        <v>237</v>
      </c>
      <c r="K130" s="20" t="s">
        <v>32</v>
      </c>
      <c r="L130" s="106">
        <v>3391</v>
      </c>
      <c r="M130" s="106" t="s">
        <v>87</v>
      </c>
      <c r="N130" s="127"/>
      <c r="O130" s="108"/>
      <c r="P130" s="107"/>
      <c r="Q130" s="108"/>
      <c r="R130" s="110"/>
      <c r="S130" s="107">
        <f>S123-SUM(S124:S126,S128:S129)</f>
        <v>6014910.4629068524</v>
      </c>
      <c r="T130" s="172" t="s">
        <v>93</v>
      </c>
    </row>
    <row r="131" spans="2:20" ht="12" customHeight="1" x14ac:dyDescent="0.2">
      <c r="B131" s="114" t="s">
        <v>96</v>
      </c>
      <c r="C131" s="115"/>
      <c r="D131" s="145"/>
      <c r="E131" s="115"/>
      <c r="F131" s="115"/>
      <c r="G131" s="117"/>
      <c r="H131" s="117"/>
      <c r="I131" s="117"/>
      <c r="J131" s="116"/>
      <c r="K131" s="116"/>
      <c r="L131" s="118"/>
      <c r="M131" s="118"/>
      <c r="N131" s="116"/>
      <c r="O131" s="116"/>
      <c r="P131" s="116"/>
      <c r="Q131" s="116"/>
      <c r="R131" s="54"/>
      <c r="S131" s="119">
        <f>S123-SUM(S124:S126,S128:S130)</f>
        <v>0</v>
      </c>
      <c r="T131" s="168"/>
    </row>
    <row r="132" spans="2:20" ht="12" customHeight="1" x14ac:dyDescent="0.2">
      <c r="B132" s="120"/>
      <c r="C132" s="121"/>
      <c r="D132" s="148"/>
      <c r="E132" s="121"/>
      <c r="F132" s="121"/>
      <c r="G132" s="123"/>
      <c r="H132" s="123"/>
      <c r="I132" s="123"/>
      <c r="J132" s="122"/>
      <c r="K132" s="122"/>
      <c r="L132" s="124"/>
      <c r="M132" s="124"/>
      <c r="N132" s="122"/>
      <c r="O132" s="122"/>
      <c r="P132" s="122"/>
      <c r="Q132" s="122"/>
      <c r="R132" s="125"/>
      <c r="S132" s="126"/>
      <c r="T132" s="171"/>
    </row>
    <row r="133" spans="2:20" ht="12" customHeight="1" x14ac:dyDescent="0.2">
      <c r="B133" s="102" t="s">
        <v>20</v>
      </c>
      <c r="C133" s="196">
        <v>341</v>
      </c>
      <c r="D133" s="199">
        <v>44130</v>
      </c>
      <c r="E133" s="200">
        <v>1000</v>
      </c>
      <c r="F133" s="201">
        <v>6800</v>
      </c>
      <c r="G133" s="49" t="s">
        <v>20</v>
      </c>
      <c r="H133" s="149"/>
      <c r="I133" s="149"/>
      <c r="J133" s="150"/>
      <c r="K133" s="150"/>
      <c r="L133" s="151"/>
      <c r="M133" s="150"/>
      <c r="N133" s="102"/>
      <c r="O133" s="152"/>
      <c r="P133" s="102"/>
      <c r="Q133" s="152"/>
      <c r="R133" s="153"/>
      <c r="S133" s="154">
        <f>E133*F133</f>
        <v>6800000</v>
      </c>
      <c r="T133" s="159"/>
    </row>
    <row r="134" spans="2:20" ht="12" customHeight="1" x14ac:dyDescent="0.2">
      <c r="B134" s="102" t="s">
        <v>20</v>
      </c>
      <c r="C134" s="196">
        <v>342</v>
      </c>
      <c r="D134" s="199">
        <v>44130</v>
      </c>
      <c r="E134" s="200">
        <v>1000</v>
      </c>
      <c r="F134" s="201">
        <v>700</v>
      </c>
      <c r="G134" s="49" t="s">
        <v>20</v>
      </c>
      <c r="H134" s="149"/>
      <c r="I134" s="149"/>
      <c r="J134" s="150"/>
      <c r="K134" s="150"/>
      <c r="L134" s="151"/>
      <c r="M134" s="150"/>
      <c r="N134" s="102"/>
      <c r="O134" s="152"/>
      <c r="P134" s="102"/>
      <c r="Q134" s="152"/>
      <c r="R134" s="153"/>
      <c r="S134" s="154">
        <f>E134*F134</f>
        <v>700000</v>
      </c>
      <c r="T134" s="159"/>
    </row>
    <row r="135" spans="2:20" ht="12" customHeight="1" x14ac:dyDescent="0.2">
      <c r="B135" s="32" t="s">
        <v>20</v>
      </c>
      <c r="C135" s="38" t="s">
        <v>21</v>
      </c>
      <c r="D135" s="138"/>
      <c r="E135" s="34"/>
      <c r="F135" s="35"/>
      <c r="G135" s="37" t="s">
        <v>22</v>
      </c>
      <c r="H135" s="37"/>
      <c r="I135" s="37"/>
      <c r="J135" s="38"/>
      <c r="K135" s="38"/>
      <c r="L135" s="39"/>
      <c r="M135" s="38"/>
      <c r="N135" s="32"/>
      <c r="O135" s="40"/>
      <c r="P135" s="32"/>
      <c r="Q135" s="40"/>
      <c r="R135" s="41"/>
      <c r="S135" s="119">
        <f>SUM(S133:S134)</f>
        <v>7500000</v>
      </c>
      <c r="T135" s="159"/>
    </row>
    <row r="136" spans="2:20" ht="12" customHeight="1" x14ac:dyDescent="0.2">
      <c r="B136" s="20" t="s">
        <v>23</v>
      </c>
      <c r="C136" s="103"/>
      <c r="D136" s="173"/>
      <c r="E136" s="103"/>
      <c r="F136" s="103"/>
      <c r="G136" s="103" t="s">
        <v>24</v>
      </c>
      <c r="H136" s="103" t="s">
        <v>25</v>
      </c>
      <c r="I136" s="103" t="s">
        <v>26</v>
      </c>
      <c r="J136" s="20">
        <v>341</v>
      </c>
      <c r="K136" s="20" t="s">
        <v>27</v>
      </c>
      <c r="L136" s="106" t="s">
        <v>28</v>
      </c>
      <c r="M136" s="20" t="s">
        <v>29</v>
      </c>
      <c r="N136" s="127">
        <f>S135*1%</f>
        <v>75000</v>
      </c>
      <c r="O136" s="108">
        <v>0.1115</v>
      </c>
      <c r="P136" s="107">
        <f>N136/(1-O136)</f>
        <v>84411.930219471018</v>
      </c>
      <c r="Q136" s="108">
        <v>6.1499999999999999E-2</v>
      </c>
      <c r="R136" s="110">
        <f>Q136*P136</f>
        <v>5191.3337084974673</v>
      </c>
      <c r="S136" s="107">
        <f>P136*(1-Q136)</f>
        <v>79220.596510973555</v>
      </c>
      <c r="T136" s="169" t="s">
        <v>74</v>
      </c>
    </row>
    <row r="137" spans="2:20" ht="12" customHeight="1" x14ac:dyDescent="0.2">
      <c r="B137" s="107" t="s">
        <v>23</v>
      </c>
      <c r="C137" s="103"/>
      <c r="D137" s="173"/>
      <c r="E137" s="103"/>
      <c r="F137" s="103"/>
      <c r="G137" s="103" t="s">
        <v>30</v>
      </c>
      <c r="H137" s="103" t="s">
        <v>25</v>
      </c>
      <c r="I137" s="103" t="s">
        <v>26</v>
      </c>
      <c r="J137" s="20">
        <v>341</v>
      </c>
      <c r="K137" s="20" t="s">
        <v>27</v>
      </c>
      <c r="L137" s="106" t="s">
        <v>28</v>
      </c>
      <c r="M137" s="20" t="s">
        <v>29</v>
      </c>
      <c r="N137" s="127">
        <f>S135*1%</f>
        <v>75000</v>
      </c>
      <c r="O137" s="108">
        <v>0.1115</v>
      </c>
      <c r="P137" s="107">
        <f t="array" ref="P137">N137/(1-O137)</f>
        <v>84411.930219471018</v>
      </c>
      <c r="Q137" s="108">
        <v>6.1499999999999999E-2</v>
      </c>
      <c r="R137" s="110">
        <f>Q137*P137</f>
        <v>5191.3337084974673</v>
      </c>
      <c r="S137" s="107">
        <f t="shared" ref="S137" si="11">P137*(1-Q137)</f>
        <v>79220.596510973555</v>
      </c>
      <c r="T137" s="172" t="s">
        <v>74</v>
      </c>
    </row>
    <row r="138" spans="2:20" ht="12" customHeight="1" x14ac:dyDescent="0.2">
      <c r="B138" s="188" t="s">
        <v>52</v>
      </c>
      <c r="C138" s="174"/>
      <c r="D138" s="175"/>
      <c r="E138" s="174"/>
      <c r="F138" s="174"/>
      <c r="G138" s="36" t="s">
        <v>51</v>
      </c>
      <c r="H138" s="36"/>
      <c r="I138" s="36"/>
      <c r="J138" s="212"/>
      <c r="K138" s="212"/>
      <c r="L138" s="212"/>
      <c r="M138" s="212"/>
      <c r="N138" s="119"/>
      <c r="O138" s="155"/>
      <c r="P138" s="119"/>
      <c r="Q138" s="155"/>
      <c r="R138" s="156"/>
      <c r="S138" s="119">
        <f>SUM(S139:S139)</f>
        <v>10382.667416994935</v>
      </c>
      <c r="T138" s="176"/>
    </row>
    <row r="139" spans="2:20" ht="12" customHeight="1" x14ac:dyDescent="0.2">
      <c r="B139" s="187" t="s">
        <v>52</v>
      </c>
      <c r="C139" s="49"/>
      <c r="D139" s="145"/>
      <c r="E139" s="49"/>
      <c r="F139" s="49"/>
      <c r="G139" s="101" t="s">
        <v>53</v>
      </c>
      <c r="H139" s="49" t="s">
        <v>25</v>
      </c>
      <c r="I139" s="49" t="s">
        <v>26</v>
      </c>
      <c r="J139" s="213"/>
      <c r="K139" s="213"/>
      <c r="L139" s="213"/>
      <c r="M139" s="213"/>
      <c r="N139" s="48"/>
      <c r="O139" s="53"/>
      <c r="P139" s="102"/>
      <c r="Q139" s="53"/>
      <c r="R139" s="54"/>
      <c r="S139" s="48">
        <f>SUM(R136:R137)</f>
        <v>10382.667416994935</v>
      </c>
      <c r="T139" s="168"/>
    </row>
    <row r="140" spans="2:20" ht="12" customHeight="1" x14ac:dyDescent="0.2">
      <c r="B140" s="107" t="s">
        <v>23</v>
      </c>
      <c r="C140" s="103"/>
      <c r="D140" s="146"/>
      <c r="E140" s="103"/>
      <c r="F140" s="103"/>
      <c r="G140" s="103" t="s">
        <v>91</v>
      </c>
      <c r="H140" s="103" t="s">
        <v>46</v>
      </c>
      <c r="I140" s="103" t="s">
        <v>47</v>
      </c>
      <c r="J140" s="106">
        <v>237</v>
      </c>
      <c r="K140" s="20" t="s">
        <v>32</v>
      </c>
      <c r="L140" s="106">
        <v>3391</v>
      </c>
      <c r="M140" s="106" t="s">
        <v>87</v>
      </c>
      <c r="N140" s="107"/>
      <c r="O140" s="108"/>
      <c r="P140" s="109"/>
      <c r="Q140" s="108"/>
      <c r="R140" s="110"/>
      <c r="S140" s="107">
        <v>0</v>
      </c>
      <c r="T140" s="169" t="s">
        <v>95</v>
      </c>
    </row>
    <row r="141" spans="2:20" ht="12" customHeight="1" x14ac:dyDescent="0.2">
      <c r="B141" s="107" t="s">
        <v>23</v>
      </c>
      <c r="C141" s="103"/>
      <c r="D141" s="146"/>
      <c r="E141" s="103"/>
      <c r="F141" s="103"/>
      <c r="G141" s="103" t="s">
        <v>88</v>
      </c>
      <c r="H141" s="103" t="s">
        <v>46</v>
      </c>
      <c r="I141" s="103" t="s">
        <v>47</v>
      </c>
      <c r="J141" s="106">
        <v>237</v>
      </c>
      <c r="K141" s="20" t="s">
        <v>32</v>
      </c>
      <c r="L141" s="106">
        <v>3391</v>
      </c>
      <c r="M141" s="106" t="s">
        <v>87</v>
      </c>
      <c r="N141" s="107"/>
      <c r="O141" s="108"/>
      <c r="P141" s="109"/>
      <c r="Q141" s="108"/>
      <c r="R141" s="110"/>
      <c r="S141" s="107">
        <v>0</v>
      </c>
      <c r="T141" s="169" t="s">
        <v>92</v>
      </c>
    </row>
    <row r="142" spans="2:20" ht="12" customHeight="1" x14ac:dyDescent="0.2">
      <c r="B142" s="107" t="s">
        <v>23</v>
      </c>
      <c r="C142" s="103"/>
      <c r="D142" s="146"/>
      <c r="E142" s="103"/>
      <c r="F142" s="103"/>
      <c r="G142" s="103" t="s">
        <v>86</v>
      </c>
      <c r="H142" s="103" t="s">
        <v>46</v>
      </c>
      <c r="I142" s="103" t="s">
        <v>47</v>
      </c>
      <c r="J142" s="106">
        <v>237</v>
      </c>
      <c r="K142" s="20" t="s">
        <v>32</v>
      </c>
      <c r="L142" s="106">
        <v>3391</v>
      </c>
      <c r="M142" s="106" t="s">
        <v>87</v>
      </c>
      <c r="N142" s="127"/>
      <c r="O142" s="108"/>
      <c r="P142" s="107"/>
      <c r="Q142" s="108"/>
      <c r="R142" s="110"/>
      <c r="S142" s="107">
        <f>S135-SUM(S136:S138,S140:S141)</f>
        <v>7331176.139561058</v>
      </c>
      <c r="T142" s="172" t="s">
        <v>93</v>
      </c>
    </row>
    <row r="143" spans="2:20" ht="12" customHeight="1" x14ac:dyDescent="0.2">
      <c r="B143" s="114" t="s">
        <v>96</v>
      </c>
      <c r="C143" s="115"/>
      <c r="D143" s="145"/>
      <c r="E143" s="115"/>
      <c r="F143" s="115"/>
      <c r="G143" s="117"/>
      <c r="H143" s="117"/>
      <c r="I143" s="117"/>
      <c r="J143" s="116"/>
      <c r="K143" s="116"/>
      <c r="L143" s="118"/>
      <c r="M143" s="118"/>
      <c r="N143" s="116"/>
      <c r="O143" s="116"/>
      <c r="P143" s="116"/>
      <c r="Q143" s="116"/>
      <c r="R143" s="54"/>
      <c r="S143" s="119">
        <f>S135-SUM(S136:S138,S140:S142)</f>
        <v>0</v>
      </c>
      <c r="T143" s="168"/>
    </row>
    <row r="144" spans="2:20" ht="12" customHeight="1" x14ac:dyDescent="0.2">
      <c r="B144" s="120"/>
      <c r="C144" s="121"/>
      <c r="D144" s="148"/>
      <c r="E144" s="121"/>
      <c r="F144" s="121"/>
      <c r="G144" s="123"/>
      <c r="H144" s="123"/>
      <c r="I144" s="123"/>
      <c r="J144" s="122"/>
      <c r="K144" s="122"/>
      <c r="L144" s="124"/>
      <c r="M144" s="124"/>
      <c r="N144" s="122"/>
      <c r="O144" s="122"/>
      <c r="P144" s="122"/>
      <c r="Q144" s="122"/>
      <c r="R144" s="125"/>
      <c r="S144" s="126"/>
      <c r="T144" s="171"/>
    </row>
    <row r="145" spans="2:20" ht="12" customHeight="1" x14ac:dyDescent="0.2">
      <c r="B145" s="102" t="s">
        <v>20</v>
      </c>
      <c r="C145" s="196">
        <v>341</v>
      </c>
      <c r="D145" s="199">
        <v>44159</v>
      </c>
      <c r="E145" s="200">
        <v>1027.45290082</v>
      </c>
      <c r="F145" s="201">
        <v>2000</v>
      </c>
      <c r="G145" s="49" t="s">
        <v>20</v>
      </c>
      <c r="H145" s="149"/>
      <c r="I145" s="149"/>
      <c r="J145" s="150"/>
      <c r="K145" s="150"/>
      <c r="L145" s="151"/>
      <c r="M145" s="150"/>
      <c r="N145" s="102"/>
      <c r="O145" s="152"/>
      <c r="P145" s="102"/>
      <c r="Q145" s="152"/>
      <c r="R145" s="153"/>
      <c r="S145" s="154">
        <f>E145*F145</f>
        <v>2054905.80164</v>
      </c>
      <c r="T145" s="159"/>
    </row>
    <row r="146" spans="2:20" ht="12" customHeight="1" x14ac:dyDescent="0.2">
      <c r="B146" s="32" t="s">
        <v>20</v>
      </c>
      <c r="C146" s="38" t="s">
        <v>21</v>
      </c>
      <c r="D146" s="138"/>
      <c r="E146" s="34"/>
      <c r="F146" s="35"/>
      <c r="G146" s="37" t="s">
        <v>22</v>
      </c>
      <c r="H146" s="37"/>
      <c r="I146" s="37"/>
      <c r="J146" s="38"/>
      <c r="K146" s="38"/>
      <c r="L146" s="39"/>
      <c r="M146" s="38"/>
      <c r="N146" s="32"/>
      <c r="O146" s="40"/>
      <c r="P146" s="32"/>
      <c r="Q146" s="40"/>
      <c r="R146" s="41"/>
      <c r="S146" s="119">
        <f>SUM(S145:S145)</f>
        <v>2054905.80164</v>
      </c>
      <c r="T146" s="159"/>
    </row>
    <row r="147" spans="2:20" ht="12" customHeight="1" x14ac:dyDescent="0.2">
      <c r="B147" s="20" t="s">
        <v>23</v>
      </c>
      <c r="C147" s="103"/>
      <c r="D147" s="173"/>
      <c r="E147" s="103"/>
      <c r="F147" s="103"/>
      <c r="G147" s="103" t="s">
        <v>24</v>
      </c>
      <c r="H147" s="103" t="s">
        <v>25</v>
      </c>
      <c r="I147" s="103" t="s">
        <v>26</v>
      </c>
      <c r="J147" s="20">
        <v>341</v>
      </c>
      <c r="K147" s="20" t="s">
        <v>27</v>
      </c>
      <c r="L147" s="106" t="s">
        <v>28</v>
      </c>
      <c r="M147" s="20" t="s">
        <v>29</v>
      </c>
      <c r="N147" s="127">
        <f>S146*1%</f>
        <v>20549.058016399998</v>
      </c>
      <c r="O147" s="108">
        <v>0.1115</v>
      </c>
      <c r="P147" s="107">
        <f t="array" ref="P147">N147/(1-O147)</f>
        <v>23127.808684749576</v>
      </c>
      <c r="Q147" s="108">
        <v>6.1499999999999999E-2</v>
      </c>
      <c r="R147" s="110">
        <f>Q147*P147</f>
        <v>1422.3602341120989</v>
      </c>
      <c r="S147" s="107">
        <f>P147*(1-Q147)</f>
        <v>21705.448450637476</v>
      </c>
      <c r="T147" s="169" t="s">
        <v>74</v>
      </c>
    </row>
    <row r="148" spans="2:20" ht="12" customHeight="1" x14ac:dyDescent="0.2">
      <c r="B148" s="107" t="s">
        <v>23</v>
      </c>
      <c r="C148" s="103"/>
      <c r="D148" s="173"/>
      <c r="E148" s="103"/>
      <c r="F148" s="103"/>
      <c r="G148" s="103" t="s">
        <v>30</v>
      </c>
      <c r="H148" s="103" t="s">
        <v>25</v>
      </c>
      <c r="I148" s="103" t="s">
        <v>26</v>
      </c>
      <c r="J148" s="20">
        <v>341</v>
      </c>
      <c r="K148" s="20" t="s">
        <v>27</v>
      </c>
      <c r="L148" s="106" t="s">
        <v>28</v>
      </c>
      <c r="M148" s="20" t="s">
        <v>29</v>
      </c>
      <c r="N148" s="127">
        <f>S146*1%</f>
        <v>20549.058016399998</v>
      </c>
      <c r="O148" s="108">
        <v>0.1115</v>
      </c>
      <c r="P148" s="107">
        <f t="array" ref="P148">N148/(1-O148)</f>
        <v>23127.808684749576</v>
      </c>
      <c r="Q148" s="108">
        <v>6.1499999999999999E-2</v>
      </c>
      <c r="R148" s="110">
        <f t="array" ref="R148">Q148*P148</f>
        <v>1422.3602341120989</v>
      </c>
      <c r="S148" s="107">
        <f t="shared" ref="S148" si="12">P148*(1-Q148)</f>
        <v>21705.448450637476</v>
      </c>
      <c r="T148" s="172" t="s">
        <v>74</v>
      </c>
    </row>
    <row r="149" spans="2:20" ht="12" customHeight="1" x14ac:dyDescent="0.2">
      <c r="B149" s="192" t="s">
        <v>52</v>
      </c>
      <c r="C149" s="174"/>
      <c r="D149" s="175"/>
      <c r="E149" s="174"/>
      <c r="F149" s="174"/>
      <c r="G149" s="36" t="s">
        <v>51</v>
      </c>
      <c r="H149" s="36"/>
      <c r="I149" s="36"/>
      <c r="J149" s="212"/>
      <c r="K149" s="212"/>
      <c r="L149" s="212"/>
      <c r="M149" s="212"/>
      <c r="N149" s="119"/>
      <c r="O149" s="155"/>
      <c r="P149" s="119"/>
      <c r="Q149" s="155"/>
      <c r="R149" s="156"/>
      <c r="S149" s="119">
        <f>SUM(S150:S150)</f>
        <v>2844.7204682241977</v>
      </c>
      <c r="T149" s="176"/>
    </row>
    <row r="150" spans="2:20" ht="12" customHeight="1" x14ac:dyDescent="0.2">
      <c r="B150" s="191" t="s">
        <v>52</v>
      </c>
      <c r="C150" s="49"/>
      <c r="D150" s="145"/>
      <c r="E150" s="49"/>
      <c r="F150" s="49"/>
      <c r="G150" s="101" t="s">
        <v>53</v>
      </c>
      <c r="H150" s="49" t="s">
        <v>25</v>
      </c>
      <c r="I150" s="49" t="s">
        <v>26</v>
      </c>
      <c r="J150" s="213"/>
      <c r="K150" s="213"/>
      <c r="L150" s="213"/>
      <c r="M150" s="213"/>
      <c r="N150" s="48"/>
      <c r="O150" s="53"/>
      <c r="P150" s="102"/>
      <c r="Q150" s="53"/>
      <c r="R150" s="54"/>
      <c r="S150" s="48">
        <f>SUM(R147:R148)</f>
        <v>2844.7204682241977</v>
      </c>
      <c r="T150" s="168"/>
    </row>
    <row r="151" spans="2:20" ht="12" customHeight="1" x14ac:dyDescent="0.2">
      <c r="B151" s="107" t="s">
        <v>23</v>
      </c>
      <c r="C151" s="103"/>
      <c r="D151" s="146"/>
      <c r="E151" s="103"/>
      <c r="F151" s="103"/>
      <c r="G151" s="103" t="s">
        <v>91</v>
      </c>
      <c r="H151" s="103" t="s">
        <v>46</v>
      </c>
      <c r="I151" s="103" t="s">
        <v>47</v>
      </c>
      <c r="J151" s="106">
        <v>237</v>
      </c>
      <c r="K151" s="20" t="s">
        <v>32</v>
      </c>
      <c r="L151" s="106">
        <v>3391</v>
      </c>
      <c r="M151" s="106" t="s">
        <v>87</v>
      </c>
      <c r="N151" s="107"/>
      <c r="O151" s="108"/>
      <c r="P151" s="109"/>
      <c r="Q151" s="108"/>
      <c r="R151" s="110"/>
      <c r="S151" s="107">
        <v>0</v>
      </c>
      <c r="T151" s="169" t="s">
        <v>95</v>
      </c>
    </row>
    <row r="152" spans="2:20" ht="12" customHeight="1" x14ac:dyDescent="0.2">
      <c r="B152" s="107" t="s">
        <v>23</v>
      </c>
      <c r="C152" s="103"/>
      <c r="D152" s="146"/>
      <c r="E152" s="103"/>
      <c r="F152" s="103"/>
      <c r="G152" s="103" t="s">
        <v>88</v>
      </c>
      <c r="H152" s="103" t="s">
        <v>46</v>
      </c>
      <c r="I152" s="103" t="s">
        <v>47</v>
      </c>
      <c r="J152" s="106">
        <v>237</v>
      </c>
      <c r="K152" s="20" t="s">
        <v>32</v>
      </c>
      <c r="L152" s="106">
        <v>3391</v>
      </c>
      <c r="M152" s="106" t="s">
        <v>87</v>
      </c>
      <c r="N152" s="107"/>
      <c r="O152" s="108"/>
      <c r="P152" s="109"/>
      <c r="Q152" s="108"/>
      <c r="R152" s="110"/>
      <c r="S152" s="107">
        <v>0</v>
      </c>
      <c r="T152" s="169" t="s">
        <v>92</v>
      </c>
    </row>
    <row r="153" spans="2:20" ht="12" customHeight="1" x14ac:dyDescent="0.2">
      <c r="B153" s="107" t="s">
        <v>23</v>
      </c>
      <c r="C153" s="103"/>
      <c r="D153" s="146"/>
      <c r="E153" s="103"/>
      <c r="F153" s="103"/>
      <c r="G153" s="103" t="s">
        <v>86</v>
      </c>
      <c r="H153" s="103" t="s">
        <v>46</v>
      </c>
      <c r="I153" s="103" t="s">
        <v>47</v>
      </c>
      <c r="J153" s="106">
        <v>237</v>
      </c>
      <c r="K153" s="20" t="s">
        <v>32</v>
      </c>
      <c r="L153" s="106">
        <v>3391</v>
      </c>
      <c r="M153" s="106" t="s">
        <v>87</v>
      </c>
      <c r="N153" s="127"/>
      <c r="O153" s="108"/>
      <c r="P153" s="107"/>
      <c r="Q153" s="108"/>
      <c r="R153" s="110"/>
      <c r="S153" s="107">
        <f>S146-SUM(S147:S149,S151:S152)</f>
        <v>2008650.1842705009</v>
      </c>
      <c r="T153" s="172" t="s">
        <v>93</v>
      </c>
    </row>
    <row r="154" spans="2:20" ht="12" customHeight="1" x14ac:dyDescent="0.2">
      <c r="B154" s="114" t="s">
        <v>96</v>
      </c>
      <c r="C154" s="115"/>
      <c r="D154" s="145"/>
      <c r="E154" s="115"/>
      <c r="F154" s="115"/>
      <c r="G154" s="117"/>
      <c r="H154" s="117"/>
      <c r="I154" s="117"/>
      <c r="J154" s="116"/>
      <c r="K154" s="116"/>
      <c r="L154" s="118"/>
      <c r="M154" s="118"/>
      <c r="N154" s="116"/>
      <c r="O154" s="116"/>
      <c r="P154" s="116"/>
      <c r="Q154" s="116"/>
      <c r="R154" s="54"/>
      <c r="S154" s="119">
        <f>S146-SUM(S147:S149,S151:S153)</f>
        <v>0</v>
      </c>
      <c r="T154" s="168"/>
    </row>
    <row r="155" spans="2:20" ht="12" customHeight="1" x14ac:dyDescent="0.2">
      <c r="B155" s="120"/>
      <c r="C155" s="121"/>
      <c r="D155" s="148"/>
      <c r="E155" s="121"/>
      <c r="F155" s="121"/>
      <c r="G155" s="123"/>
      <c r="H155" s="123"/>
      <c r="I155" s="123"/>
      <c r="J155" s="122"/>
      <c r="K155" s="122"/>
      <c r="L155" s="124"/>
      <c r="M155" s="124"/>
      <c r="N155" s="122"/>
      <c r="O155" s="122"/>
      <c r="P155" s="122"/>
      <c r="Q155" s="122"/>
      <c r="R155" s="125"/>
      <c r="S155" s="126"/>
      <c r="T155" s="171"/>
    </row>
    <row r="156" spans="2:20" ht="12" customHeight="1" x14ac:dyDescent="0.2">
      <c r="B156" s="102" t="s">
        <v>20</v>
      </c>
      <c r="C156" s="196">
        <v>342</v>
      </c>
      <c r="D156" s="199">
        <v>44165</v>
      </c>
      <c r="E156" s="200">
        <v>1037.1373265</v>
      </c>
      <c r="F156" s="201">
        <v>2300</v>
      </c>
      <c r="G156" s="49" t="s">
        <v>20</v>
      </c>
      <c r="H156" s="149"/>
      <c r="I156" s="149"/>
      <c r="J156" s="150"/>
      <c r="K156" s="150"/>
      <c r="L156" s="151"/>
      <c r="M156" s="150"/>
      <c r="N156" s="102"/>
      <c r="O156" s="152"/>
      <c r="P156" s="102"/>
      <c r="Q156" s="152"/>
      <c r="R156" s="153"/>
      <c r="S156" s="154">
        <f>E156*F156</f>
        <v>2385415.8509499999</v>
      </c>
      <c r="T156" s="159"/>
    </row>
    <row r="157" spans="2:20" ht="12" customHeight="1" x14ac:dyDescent="0.2">
      <c r="B157" s="32" t="s">
        <v>20</v>
      </c>
      <c r="C157" s="38" t="s">
        <v>21</v>
      </c>
      <c r="D157" s="138"/>
      <c r="E157" s="34"/>
      <c r="F157" s="35"/>
      <c r="G157" s="37" t="s">
        <v>22</v>
      </c>
      <c r="H157" s="37"/>
      <c r="I157" s="37"/>
      <c r="J157" s="38"/>
      <c r="K157" s="38"/>
      <c r="L157" s="39"/>
      <c r="M157" s="38"/>
      <c r="N157" s="32"/>
      <c r="O157" s="40"/>
      <c r="P157" s="32"/>
      <c r="Q157" s="40"/>
      <c r="R157" s="41"/>
      <c r="S157" s="119">
        <f>SUM(S156:S156)</f>
        <v>2385415.8509499999</v>
      </c>
      <c r="T157" s="159"/>
    </row>
    <row r="158" spans="2:20" ht="12" customHeight="1" x14ac:dyDescent="0.2">
      <c r="B158" s="20" t="s">
        <v>23</v>
      </c>
      <c r="C158" s="103"/>
      <c r="D158" s="173"/>
      <c r="E158" s="103"/>
      <c r="F158" s="103"/>
      <c r="G158" s="103" t="s">
        <v>24</v>
      </c>
      <c r="H158" s="103" t="s">
        <v>25</v>
      </c>
      <c r="I158" s="103" t="s">
        <v>26</v>
      </c>
      <c r="J158" s="20">
        <v>341</v>
      </c>
      <c r="K158" s="20" t="s">
        <v>27</v>
      </c>
      <c r="L158" s="106" t="s">
        <v>28</v>
      </c>
      <c r="M158" s="20" t="s">
        <v>29</v>
      </c>
      <c r="N158" s="127">
        <f>S157*1%</f>
        <v>23854.158509500001</v>
      </c>
      <c r="O158" s="108">
        <v>0.1115</v>
      </c>
      <c r="P158" s="107">
        <f t="array" ref="P158">N158/(1-O158)</f>
        <v>26847.674180641534</v>
      </c>
      <c r="Q158" s="108">
        <v>6.1499999999999999E-2</v>
      </c>
      <c r="R158" s="110">
        <f>Q158*P158</f>
        <v>1651.1319621094542</v>
      </c>
      <c r="S158" s="107">
        <f>P158*(1-Q158)</f>
        <v>25196.542218532079</v>
      </c>
      <c r="T158" s="169" t="s">
        <v>74</v>
      </c>
    </row>
    <row r="159" spans="2:20" ht="12" customHeight="1" x14ac:dyDescent="0.2">
      <c r="B159" s="107" t="s">
        <v>23</v>
      </c>
      <c r="C159" s="103"/>
      <c r="D159" s="173"/>
      <c r="E159" s="103"/>
      <c r="F159" s="103"/>
      <c r="G159" s="103" t="s">
        <v>30</v>
      </c>
      <c r="H159" s="103" t="s">
        <v>25</v>
      </c>
      <c r="I159" s="103" t="s">
        <v>26</v>
      </c>
      <c r="J159" s="20">
        <v>341</v>
      </c>
      <c r="K159" s="20" t="s">
        <v>27</v>
      </c>
      <c r="L159" s="106" t="s">
        <v>28</v>
      </c>
      <c r="M159" s="20" t="s">
        <v>29</v>
      </c>
      <c r="N159" s="127">
        <f>S157*1%</f>
        <v>23854.158509500001</v>
      </c>
      <c r="O159" s="108">
        <v>0.1115</v>
      </c>
      <c r="P159" s="107">
        <f t="array" ref="P159">N159/(1-O159)</f>
        <v>26847.674180641534</v>
      </c>
      <c r="Q159" s="108">
        <v>6.1499999999999999E-2</v>
      </c>
      <c r="R159" s="110">
        <f t="array" ref="R159">Q159*P159</f>
        <v>1651.1319621094542</v>
      </c>
      <c r="S159" s="107">
        <f t="shared" ref="S159" si="13">P159*(1-Q159)</f>
        <v>25196.542218532079</v>
      </c>
      <c r="T159" s="172" t="s">
        <v>74</v>
      </c>
    </row>
    <row r="160" spans="2:20" ht="12" customHeight="1" x14ac:dyDescent="0.2">
      <c r="B160" s="193" t="s">
        <v>52</v>
      </c>
      <c r="C160" s="174"/>
      <c r="D160" s="175"/>
      <c r="E160" s="174"/>
      <c r="F160" s="174"/>
      <c r="G160" s="36" t="s">
        <v>51</v>
      </c>
      <c r="H160" s="36"/>
      <c r="I160" s="36"/>
      <c r="J160" s="212"/>
      <c r="K160" s="212"/>
      <c r="L160" s="212"/>
      <c r="M160" s="212"/>
      <c r="N160" s="119"/>
      <c r="O160" s="155"/>
      <c r="P160" s="119"/>
      <c r="Q160" s="155"/>
      <c r="R160" s="156"/>
      <c r="S160" s="119">
        <f>SUM(S161:S161)</f>
        <v>3302.2639242189084</v>
      </c>
      <c r="T160" s="176"/>
    </row>
    <row r="161" spans="2:20" ht="12" customHeight="1" x14ac:dyDescent="0.2">
      <c r="B161" s="194" t="s">
        <v>52</v>
      </c>
      <c r="C161" s="49"/>
      <c r="D161" s="145"/>
      <c r="E161" s="49"/>
      <c r="F161" s="49"/>
      <c r="G161" s="101" t="s">
        <v>53</v>
      </c>
      <c r="H161" s="49" t="s">
        <v>25</v>
      </c>
      <c r="I161" s="49" t="s">
        <v>26</v>
      </c>
      <c r="J161" s="213"/>
      <c r="K161" s="213"/>
      <c r="L161" s="213"/>
      <c r="M161" s="213"/>
      <c r="N161" s="48"/>
      <c r="O161" s="53"/>
      <c r="P161" s="102"/>
      <c r="Q161" s="53"/>
      <c r="R161" s="54"/>
      <c r="S161" s="48">
        <f>SUM(R158:R159)</f>
        <v>3302.2639242189084</v>
      </c>
      <c r="T161" s="168"/>
    </row>
    <row r="162" spans="2:20" ht="12" customHeight="1" x14ac:dyDescent="0.2">
      <c r="B162" s="107" t="s">
        <v>23</v>
      </c>
      <c r="C162" s="103"/>
      <c r="D162" s="146"/>
      <c r="E162" s="103"/>
      <c r="F162" s="103"/>
      <c r="G162" s="103" t="s">
        <v>88</v>
      </c>
      <c r="H162" s="103" t="s">
        <v>46</v>
      </c>
      <c r="I162" s="103" t="s">
        <v>47</v>
      </c>
      <c r="J162" s="106">
        <v>237</v>
      </c>
      <c r="K162" s="20" t="s">
        <v>32</v>
      </c>
      <c r="L162" s="106">
        <v>3391</v>
      </c>
      <c r="M162" s="106" t="s">
        <v>87</v>
      </c>
      <c r="N162" s="107"/>
      <c r="O162" s="108"/>
      <c r="P162" s="109"/>
      <c r="Q162" s="108"/>
      <c r="R162" s="110"/>
      <c r="S162" s="107">
        <v>112853.18</v>
      </c>
      <c r="T162" s="169" t="s">
        <v>92</v>
      </c>
    </row>
    <row r="163" spans="2:20" ht="12" customHeight="1" x14ac:dyDescent="0.2">
      <c r="B163" s="107" t="s">
        <v>23</v>
      </c>
      <c r="C163" s="103"/>
      <c r="D163" s="146"/>
      <c r="E163" s="103"/>
      <c r="F163" s="103"/>
      <c r="G163" s="103" t="s">
        <v>86</v>
      </c>
      <c r="H163" s="103" t="s">
        <v>46</v>
      </c>
      <c r="I163" s="103" t="s">
        <v>47</v>
      </c>
      <c r="J163" s="106">
        <v>237</v>
      </c>
      <c r="K163" s="20" t="s">
        <v>32</v>
      </c>
      <c r="L163" s="106">
        <v>3391</v>
      </c>
      <c r="M163" s="106" t="s">
        <v>87</v>
      </c>
      <c r="N163" s="127"/>
      <c r="O163" s="108"/>
      <c r="P163" s="107"/>
      <c r="Q163" s="108"/>
      <c r="R163" s="110"/>
      <c r="S163" s="107">
        <f>S157-SUM(S158:S160,S162:S162)</f>
        <v>2218867.3225887166</v>
      </c>
      <c r="T163" s="172" t="s">
        <v>93</v>
      </c>
    </row>
    <row r="164" spans="2:20" ht="12" customHeight="1" x14ac:dyDescent="0.2">
      <c r="B164" s="114" t="s">
        <v>96</v>
      </c>
      <c r="C164" s="115"/>
      <c r="D164" s="145"/>
      <c r="E164" s="115"/>
      <c r="F164" s="115"/>
      <c r="G164" s="117"/>
      <c r="H164" s="117"/>
      <c r="I164" s="117"/>
      <c r="J164" s="116"/>
      <c r="K164" s="116"/>
      <c r="L164" s="118"/>
      <c r="M164" s="118"/>
      <c r="N164" s="116"/>
      <c r="O164" s="116"/>
      <c r="P164" s="116"/>
      <c r="Q164" s="116"/>
      <c r="R164" s="54"/>
      <c r="S164" s="119">
        <f>S157-SUM(S158:S160,S162:S163)</f>
        <v>0</v>
      </c>
      <c r="T164" s="168"/>
    </row>
    <row r="165" spans="2:20" ht="12" customHeight="1" x14ac:dyDescent="0.2">
      <c r="B165" s="120"/>
      <c r="C165" s="121"/>
      <c r="D165" s="148"/>
      <c r="E165" s="121"/>
      <c r="F165" s="121"/>
      <c r="G165" s="123"/>
      <c r="H165" s="123"/>
      <c r="I165" s="123"/>
      <c r="J165" s="122"/>
      <c r="K165" s="122"/>
      <c r="L165" s="124"/>
      <c r="M165" s="124"/>
      <c r="N165" s="122"/>
      <c r="O165" s="122"/>
      <c r="P165" s="122"/>
      <c r="Q165" s="122"/>
      <c r="R165" s="125"/>
      <c r="S165" s="126"/>
      <c r="T165" s="171"/>
    </row>
    <row r="166" spans="2:20" ht="12" customHeight="1" x14ac:dyDescent="0.2">
      <c r="B166" s="102" t="s">
        <v>20</v>
      </c>
      <c r="C166" s="196">
        <v>341</v>
      </c>
      <c r="D166" s="199">
        <v>44176</v>
      </c>
      <c r="E166" s="200">
        <v>1052.79887964</v>
      </c>
      <c r="F166" s="201">
        <v>6500</v>
      </c>
      <c r="G166" s="49" t="s">
        <v>20</v>
      </c>
      <c r="H166" s="149"/>
      <c r="I166" s="149"/>
      <c r="J166" s="150"/>
      <c r="K166" s="150"/>
      <c r="L166" s="151"/>
      <c r="M166" s="150"/>
      <c r="N166" s="102"/>
      <c r="O166" s="152"/>
      <c r="P166" s="102"/>
      <c r="Q166" s="152"/>
      <c r="R166" s="153"/>
      <c r="S166" s="154">
        <f>E166*F166</f>
        <v>6843192.7176599996</v>
      </c>
      <c r="T166" s="159"/>
    </row>
    <row r="167" spans="2:20" ht="12" customHeight="1" x14ac:dyDescent="0.2">
      <c r="B167" s="102" t="s">
        <v>20</v>
      </c>
      <c r="C167" s="196">
        <v>342</v>
      </c>
      <c r="D167" s="199">
        <v>44176</v>
      </c>
      <c r="E167" s="200">
        <v>1057.1656960400001</v>
      </c>
      <c r="F167" s="201">
        <v>3500</v>
      </c>
      <c r="G167" s="49" t="s">
        <v>20</v>
      </c>
      <c r="H167" s="149"/>
      <c r="I167" s="149"/>
      <c r="J167" s="150"/>
      <c r="K167" s="150"/>
      <c r="L167" s="151"/>
      <c r="M167" s="150"/>
      <c r="N167" s="102"/>
      <c r="O167" s="152"/>
      <c r="P167" s="102"/>
      <c r="Q167" s="152"/>
      <c r="R167" s="153"/>
      <c r="S167" s="154">
        <f>E167*F167</f>
        <v>3700079.9361400004</v>
      </c>
      <c r="T167" s="159"/>
    </row>
    <row r="168" spans="2:20" ht="12" customHeight="1" x14ac:dyDescent="0.2">
      <c r="B168" s="32" t="s">
        <v>20</v>
      </c>
      <c r="C168" s="38" t="s">
        <v>21</v>
      </c>
      <c r="D168" s="138"/>
      <c r="E168" s="34"/>
      <c r="F168" s="35"/>
      <c r="G168" s="37" t="s">
        <v>22</v>
      </c>
      <c r="H168" s="37"/>
      <c r="I168" s="37"/>
      <c r="J168" s="38"/>
      <c r="K168" s="38"/>
      <c r="L168" s="39"/>
      <c r="M168" s="38"/>
      <c r="N168" s="32"/>
      <c r="O168" s="40"/>
      <c r="P168" s="32"/>
      <c r="Q168" s="40"/>
      <c r="R168" s="41"/>
      <c r="S168" s="119">
        <f>SUM(S166:S167)</f>
        <v>10543272.6538</v>
      </c>
      <c r="T168" s="159"/>
    </row>
    <row r="169" spans="2:20" ht="12" customHeight="1" x14ac:dyDescent="0.2">
      <c r="B169" s="206" t="s">
        <v>23</v>
      </c>
      <c r="C169" s="103"/>
      <c r="D169" s="173"/>
      <c r="E169" s="103"/>
      <c r="F169" s="103"/>
      <c r="G169" s="205" t="s">
        <v>24</v>
      </c>
      <c r="H169" s="103" t="s">
        <v>25</v>
      </c>
      <c r="I169" s="103" t="s">
        <v>26</v>
      </c>
      <c r="J169" s="20">
        <v>341</v>
      </c>
      <c r="K169" s="20" t="s">
        <v>27</v>
      </c>
      <c r="L169" s="106" t="s">
        <v>28</v>
      </c>
      <c r="M169" s="20" t="s">
        <v>29</v>
      </c>
      <c r="N169" s="127">
        <f>S168*1%</f>
        <v>105432.726538</v>
      </c>
      <c r="O169" s="108">
        <v>0.1115</v>
      </c>
      <c r="P169" s="107">
        <f t="array" ref="P169">N169/(1-O169)</f>
        <v>118663.73273832303</v>
      </c>
      <c r="Q169" s="108">
        <v>6.1499999999999999E-2</v>
      </c>
      <c r="R169" s="110">
        <f>Q169*P169</f>
        <v>7297.8195634068661</v>
      </c>
      <c r="S169" s="204">
        <f>P169*(1-Q169)</f>
        <v>111365.91317491616</v>
      </c>
      <c r="T169" s="169" t="s">
        <v>74</v>
      </c>
    </row>
    <row r="170" spans="2:20" ht="12" customHeight="1" x14ac:dyDescent="0.2">
      <c r="B170" s="204" t="s">
        <v>23</v>
      </c>
      <c r="C170" s="103"/>
      <c r="D170" s="173"/>
      <c r="E170" s="103"/>
      <c r="F170" s="103"/>
      <c r="G170" s="205" t="s">
        <v>30</v>
      </c>
      <c r="H170" s="103" t="s">
        <v>25</v>
      </c>
      <c r="I170" s="103" t="s">
        <v>26</v>
      </c>
      <c r="J170" s="20">
        <v>341</v>
      </c>
      <c r="K170" s="20" t="s">
        <v>27</v>
      </c>
      <c r="L170" s="106" t="s">
        <v>28</v>
      </c>
      <c r="M170" s="20" t="s">
        <v>29</v>
      </c>
      <c r="N170" s="127">
        <f>S168*1%</f>
        <v>105432.726538</v>
      </c>
      <c r="O170" s="108">
        <v>0.1115</v>
      </c>
      <c r="P170" s="107">
        <f t="array" ref="P170">N170/(1-O170)</f>
        <v>118663.73273832303</v>
      </c>
      <c r="Q170" s="108">
        <v>6.1499999999999999E-2</v>
      </c>
      <c r="R170" s="110">
        <f t="array" ref="R170">Q170*P170</f>
        <v>7297.8195634068661</v>
      </c>
      <c r="S170" s="204">
        <f t="shared" ref="S170" si="14">P170*(1-Q170)</f>
        <v>111365.91317491616</v>
      </c>
      <c r="T170" s="172" t="s">
        <v>74</v>
      </c>
    </row>
    <row r="171" spans="2:20" ht="12" customHeight="1" x14ac:dyDescent="0.2">
      <c r="B171" s="195" t="s">
        <v>52</v>
      </c>
      <c r="C171" s="174"/>
      <c r="D171" s="175"/>
      <c r="E171" s="174"/>
      <c r="F171" s="174"/>
      <c r="G171" s="36" t="s">
        <v>51</v>
      </c>
      <c r="H171" s="36"/>
      <c r="I171" s="36"/>
      <c r="J171" s="212"/>
      <c r="K171" s="212"/>
      <c r="L171" s="212"/>
      <c r="M171" s="212"/>
      <c r="N171" s="119"/>
      <c r="O171" s="155"/>
      <c r="P171" s="119"/>
      <c r="Q171" s="155"/>
      <c r="R171" s="156"/>
      <c r="S171" s="119">
        <f>SUM(S172:S172)</f>
        <v>14595.639126813732</v>
      </c>
      <c r="T171" s="176"/>
    </row>
    <row r="172" spans="2:20" ht="12" customHeight="1" x14ac:dyDescent="0.2">
      <c r="B172" s="196" t="s">
        <v>52</v>
      </c>
      <c r="C172" s="49"/>
      <c r="D172" s="145"/>
      <c r="E172" s="49"/>
      <c r="F172" s="49"/>
      <c r="G172" s="101" t="s">
        <v>53</v>
      </c>
      <c r="H172" s="49" t="s">
        <v>25</v>
      </c>
      <c r="I172" s="49" t="s">
        <v>26</v>
      </c>
      <c r="J172" s="213"/>
      <c r="K172" s="213"/>
      <c r="L172" s="213"/>
      <c r="M172" s="213"/>
      <c r="N172" s="48"/>
      <c r="O172" s="53"/>
      <c r="P172" s="102"/>
      <c r="Q172" s="53"/>
      <c r="R172" s="54"/>
      <c r="S172" s="48">
        <f>SUM(R169:R170)</f>
        <v>14595.639126813732</v>
      </c>
      <c r="T172" s="168"/>
    </row>
    <row r="173" spans="2:20" ht="12" customHeight="1" x14ac:dyDescent="0.2">
      <c r="B173" s="204" t="s">
        <v>23</v>
      </c>
      <c r="C173" s="103"/>
      <c r="D173" s="146"/>
      <c r="E173" s="103"/>
      <c r="F173" s="103"/>
      <c r="G173" s="205" t="s">
        <v>88</v>
      </c>
      <c r="H173" s="103" t="s">
        <v>46</v>
      </c>
      <c r="I173" s="103" t="s">
        <v>47</v>
      </c>
      <c r="J173" s="106">
        <v>237</v>
      </c>
      <c r="K173" s="20" t="s">
        <v>32</v>
      </c>
      <c r="L173" s="106">
        <v>3391</v>
      </c>
      <c r="M173" s="106" t="s">
        <v>87</v>
      </c>
      <c r="N173" s="107"/>
      <c r="O173" s="108"/>
      <c r="P173" s="109"/>
      <c r="Q173" s="108"/>
      <c r="R173" s="110"/>
      <c r="S173" s="204">
        <v>1458119.53852425</v>
      </c>
      <c r="T173" s="169" t="s">
        <v>92</v>
      </c>
    </row>
    <row r="174" spans="2:20" ht="12" customHeight="1" x14ac:dyDescent="0.2">
      <c r="B174" s="204" t="s">
        <v>23</v>
      </c>
      <c r="C174" s="103"/>
      <c r="D174" s="146"/>
      <c r="E174" s="103"/>
      <c r="F174" s="103"/>
      <c r="G174" s="205" t="s">
        <v>86</v>
      </c>
      <c r="H174" s="103" t="s">
        <v>46</v>
      </c>
      <c r="I174" s="103" t="s">
        <v>47</v>
      </c>
      <c r="J174" s="106">
        <v>237</v>
      </c>
      <c r="K174" s="20" t="s">
        <v>32</v>
      </c>
      <c r="L174" s="106">
        <v>3391</v>
      </c>
      <c r="M174" s="106" t="s">
        <v>87</v>
      </c>
      <c r="N174" s="127"/>
      <c r="O174" s="108"/>
      <c r="P174" s="107"/>
      <c r="Q174" s="108"/>
      <c r="R174" s="110"/>
      <c r="S174" s="204">
        <f>S168-SUM(S169:S171,S173:S173)</f>
        <v>8847825.6497991029</v>
      </c>
      <c r="T174" s="172" t="s">
        <v>93</v>
      </c>
    </row>
    <row r="175" spans="2:20" ht="12" customHeight="1" x14ac:dyDescent="0.2">
      <c r="B175" s="114" t="s">
        <v>96</v>
      </c>
      <c r="C175" s="115"/>
      <c r="D175" s="145"/>
      <c r="E175" s="115"/>
      <c r="F175" s="115"/>
      <c r="G175" s="117"/>
      <c r="H175" s="117"/>
      <c r="I175" s="117"/>
      <c r="J175" s="116"/>
      <c r="K175" s="116"/>
      <c r="L175" s="118"/>
      <c r="M175" s="118"/>
      <c r="N175" s="116"/>
      <c r="O175" s="116"/>
      <c r="P175" s="116"/>
      <c r="Q175" s="116"/>
      <c r="R175" s="54"/>
      <c r="S175" s="119">
        <f>S168-SUM(S169:S171,S173:S174)</f>
        <v>0</v>
      </c>
      <c r="T175" s="168"/>
    </row>
    <row r="176" spans="2:20" ht="12" customHeight="1" x14ac:dyDescent="0.2">
      <c r="B176" s="120"/>
      <c r="C176" s="121"/>
      <c r="D176" s="148"/>
      <c r="E176" s="121"/>
      <c r="F176" s="121"/>
      <c r="G176" s="123"/>
      <c r="H176" s="123"/>
      <c r="I176" s="123"/>
      <c r="J176" s="122"/>
      <c r="K176" s="122"/>
      <c r="L176" s="124"/>
      <c r="M176" s="124"/>
      <c r="N176" s="122"/>
      <c r="O176" s="122"/>
      <c r="P176" s="122"/>
      <c r="Q176" s="122"/>
      <c r="R176" s="125"/>
      <c r="S176" s="126"/>
      <c r="T176" s="171"/>
    </row>
    <row r="177" spans="2:20" ht="12" customHeight="1" x14ac:dyDescent="0.2">
      <c r="B177" s="102" t="s">
        <v>20</v>
      </c>
      <c r="C177" s="198">
        <v>341</v>
      </c>
      <c r="D177" s="199">
        <v>44235</v>
      </c>
      <c r="E177" s="200">
        <v>1060.49805042</v>
      </c>
      <c r="F177" s="201">
        <v>1950</v>
      </c>
      <c r="G177" s="49" t="s">
        <v>20</v>
      </c>
      <c r="H177" s="149"/>
      <c r="I177" s="149"/>
      <c r="J177" s="150"/>
      <c r="K177" s="150"/>
      <c r="L177" s="151"/>
      <c r="M177" s="150"/>
      <c r="N177" s="102"/>
      <c r="O177" s="152"/>
      <c r="P177" s="102"/>
      <c r="Q177" s="152"/>
      <c r="R177" s="153"/>
      <c r="S177" s="154">
        <f>E177*F177</f>
        <v>2067971.198319</v>
      </c>
      <c r="T177" s="159"/>
    </row>
    <row r="178" spans="2:20" ht="12" customHeight="1" x14ac:dyDescent="0.2">
      <c r="B178" s="102" t="s">
        <v>20</v>
      </c>
      <c r="C178" s="198">
        <v>342</v>
      </c>
      <c r="D178" s="199">
        <v>44235</v>
      </c>
      <c r="E178" s="200">
        <v>1064.3270147799999</v>
      </c>
      <c r="F178" s="201">
        <v>1050</v>
      </c>
      <c r="G178" s="49" t="s">
        <v>20</v>
      </c>
      <c r="H178" s="149"/>
      <c r="I178" s="149"/>
      <c r="J178" s="150"/>
      <c r="K178" s="150"/>
      <c r="L178" s="151"/>
      <c r="M178" s="150"/>
      <c r="N178" s="102"/>
      <c r="O178" s="152"/>
      <c r="P178" s="102"/>
      <c r="Q178" s="152"/>
      <c r="R178" s="153"/>
      <c r="S178" s="154">
        <f>E178*F178</f>
        <v>1117543.365519</v>
      </c>
      <c r="T178" s="159"/>
    </row>
    <row r="179" spans="2:20" ht="12" customHeight="1" x14ac:dyDescent="0.2">
      <c r="B179" s="32" t="s">
        <v>20</v>
      </c>
      <c r="C179" s="38" t="s">
        <v>21</v>
      </c>
      <c r="D179" s="138"/>
      <c r="E179" s="34"/>
      <c r="F179" s="35"/>
      <c r="G179" s="37" t="s">
        <v>22</v>
      </c>
      <c r="H179" s="37"/>
      <c r="I179" s="37"/>
      <c r="J179" s="38"/>
      <c r="K179" s="38"/>
      <c r="L179" s="39"/>
      <c r="M179" s="38"/>
      <c r="N179" s="32"/>
      <c r="O179" s="40"/>
      <c r="P179" s="32"/>
      <c r="Q179" s="40"/>
      <c r="R179" s="41"/>
      <c r="S179" s="119">
        <f>SUM(S177:S178)</f>
        <v>3185514.5638379999</v>
      </c>
      <c r="T179" s="159"/>
    </row>
    <row r="180" spans="2:20" ht="12" customHeight="1" x14ac:dyDescent="0.2">
      <c r="B180" s="20" t="s">
        <v>23</v>
      </c>
      <c r="C180" s="103"/>
      <c r="D180" s="173"/>
      <c r="E180" s="103"/>
      <c r="F180" s="103"/>
      <c r="G180" s="205" t="s">
        <v>24</v>
      </c>
      <c r="H180" s="103" t="s">
        <v>25</v>
      </c>
      <c r="I180" s="103" t="s">
        <v>26</v>
      </c>
      <c r="J180" s="20">
        <v>341</v>
      </c>
      <c r="K180" s="20" t="s">
        <v>27</v>
      </c>
      <c r="L180" s="106" t="s">
        <v>28</v>
      </c>
      <c r="M180" s="20" t="s">
        <v>29</v>
      </c>
      <c r="N180" s="127">
        <f>S179*1%</f>
        <v>31855.14563838</v>
      </c>
      <c r="O180" s="108">
        <v>0.1115</v>
      </c>
      <c r="P180" s="107">
        <f t="array" ref="P180">N180/(1-O180)</f>
        <v>35852.724410106923</v>
      </c>
      <c r="Q180" s="108">
        <v>6.1499999999999999E-2</v>
      </c>
      <c r="R180" s="110">
        <f>Q180*P180</f>
        <v>2204.9425512215757</v>
      </c>
      <c r="S180" s="204">
        <f>P180*(1-Q180)</f>
        <v>33647.781858885348</v>
      </c>
      <c r="T180" s="169" t="s">
        <v>74</v>
      </c>
    </row>
    <row r="181" spans="2:20" ht="12" customHeight="1" x14ac:dyDescent="0.2">
      <c r="B181" s="107" t="s">
        <v>23</v>
      </c>
      <c r="C181" s="103"/>
      <c r="D181" s="173"/>
      <c r="E181" s="103"/>
      <c r="F181" s="103"/>
      <c r="G181" s="205" t="s">
        <v>30</v>
      </c>
      <c r="H181" s="103" t="s">
        <v>25</v>
      </c>
      <c r="I181" s="103" t="s">
        <v>26</v>
      </c>
      <c r="J181" s="20">
        <v>341</v>
      </c>
      <c r="K181" s="20" t="s">
        <v>27</v>
      </c>
      <c r="L181" s="106" t="s">
        <v>28</v>
      </c>
      <c r="M181" s="20" t="s">
        <v>29</v>
      </c>
      <c r="N181" s="127">
        <f>S179*1%</f>
        <v>31855.14563838</v>
      </c>
      <c r="O181" s="108">
        <v>0.1115</v>
      </c>
      <c r="P181" s="107">
        <f t="array" ref="P181">N181/(1-O181)</f>
        <v>35852.724410106923</v>
      </c>
      <c r="Q181" s="108">
        <v>6.1499999999999999E-2</v>
      </c>
      <c r="R181" s="110">
        <f t="array" ref="R181">Q181*P181</f>
        <v>2204.9425512215757</v>
      </c>
      <c r="S181" s="204">
        <f t="shared" ref="S181" si="15">P181*(1-Q181)</f>
        <v>33647.781858885348</v>
      </c>
      <c r="T181" s="172" t="s">
        <v>74</v>
      </c>
    </row>
    <row r="182" spans="2:20" ht="12" customHeight="1" x14ac:dyDescent="0.2">
      <c r="B182" s="197" t="s">
        <v>52</v>
      </c>
      <c r="C182" s="174"/>
      <c r="D182" s="175"/>
      <c r="E182" s="174"/>
      <c r="F182" s="174"/>
      <c r="G182" s="36" t="s">
        <v>51</v>
      </c>
      <c r="H182" s="36"/>
      <c r="I182" s="36"/>
      <c r="J182" s="212"/>
      <c r="K182" s="212"/>
      <c r="L182" s="212"/>
      <c r="M182" s="212"/>
      <c r="N182" s="119"/>
      <c r="O182" s="155"/>
      <c r="P182" s="119"/>
      <c r="Q182" s="155"/>
      <c r="R182" s="156"/>
      <c r="S182" s="119">
        <f>SUM(S183:S183)</f>
        <v>4409.8851024431515</v>
      </c>
      <c r="T182" s="176"/>
    </row>
    <row r="183" spans="2:20" ht="12" customHeight="1" x14ac:dyDescent="0.2">
      <c r="B183" s="198" t="s">
        <v>52</v>
      </c>
      <c r="C183" s="49"/>
      <c r="D183" s="145"/>
      <c r="E183" s="49"/>
      <c r="F183" s="49"/>
      <c r="G183" s="101" t="s">
        <v>53</v>
      </c>
      <c r="H183" s="49" t="s">
        <v>25</v>
      </c>
      <c r="I183" s="49" t="s">
        <v>26</v>
      </c>
      <c r="J183" s="213"/>
      <c r="K183" s="213"/>
      <c r="L183" s="213"/>
      <c r="M183" s="213"/>
      <c r="N183" s="48"/>
      <c r="O183" s="53"/>
      <c r="P183" s="102"/>
      <c r="Q183" s="53"/>
      <c r="R183" s="54"/>
      <c r="S183" s="48">
        <f>SUM(R180:R181)</f>
        <v>4409.8851024431515</v>
      </c>
      <c r="T183" s="168"/>
    </row>
    <row r="184" spans="2:20" ht="12" customHeight="1" x14ac:dyDescent="0.2">
      <c r="B184" s="204" t="s">
        <v>23</v>
      </c>
      <c r="C184" s="103"/>
      <c r="D184" s="146"/>
      <c r="E184" s="103"/>
      <c r="F184" s="103"/>
      <c r="G184" s="205" t="s">
        <v>88</v>
      </c>
      <c r="H184" s="103" t="s">
        <v>46</v>
      </c>
      <c r="I184" s="103" t="s">
        <v>47</v>
      </c>
      <c r="J184" s="106">
        <v>237</v>
      </c>
      <c r="K184" s="20" t="s">
        <v>32</v>
      </c>
      <c r="L184" s="106">
        <v>3391</v>
      </c>
      <c r="M184" s="106" t="s">
        <v>87</v>
      </c>
      <c r="N184" s="107"/>
      <c r="O184" s="108"/>
      <c r="P184" s="109"/>
      <c r="Q184" s="108"/>
      <c r="R184" s="110"/>
      <c r="S184" s="204">
        <v>145427.70000000001</v>
      </c>
      <c r="T184" s="169" t="s">
        <v>92</v>
      </c>
    </row>
    <row r="185" spans="2:20" ht="12" customHeight="1" x14ac:dyDescent="0.2">
      <c r="B185" s="204" t="s">
        <v>23</v>
      </c>
      <c r="C185" s="103"/>
      <c r="D185" s="146"/>
      <c r="E185" s="103"/>
      <c r="F185" s="103"/>
      <c r="G185" s="205" t="s">
        <v>91</v>
      </c>
      <c r="H185" s="103" t="s">
        <v>46</v>
      </c>
      <c r="I185" s="103" t="s">
        <v>47</v>
      </c>
      <c r="J185" s="106">
        <v>237</v>
      </c>
      <c r="K185" s="20" t="s">
        <v>32</v>
      </c>
      <c r="L185" s="106">
        <v>3391</v>
      </c>
      <c r="M185" s="106" t="s">
        <v>87</v>
      </c>
      <c r="N185" s="107"/>
      <c r="O185" s="108"/>
      <c r="P185" s="109"/>
      <c r="Q185" s="108"/>
      <c r="R185" s="110"/>
      <c r="S185" s="204">
        <v>77725.59</v>
      </c>
      <c r="T185" s="169" t="s">
        <v>95</v>
      </c>
    </row>
    <row r="186" spans="2:20" ht="12" customHeight="1" x14ac:dyDescent="0.2">
      <c r="B186" s="204" t="s">
        <v>23</v>
      </c>
      <c r="C186" s="103"/>
      <c r="D186" s="146"/>
      <c r="E186" s="103"/>
      <c r="F186" s="103"/>
      <c r="G186" s="205" t="s">
        <v>86</v>
      </c>
      <c r="H186" s="103" t="s">
        <v>46</v>
      </c>
      <c r="I186" s="103" t="s">
        <v>47</v>
      </c>
      <c r="J186" s="106">
        <v>237</v>
      </c>
      <c r="K186" s="20" t="s">
        <v>32</v>
      </c>
      <c r="L186" s="106">
        <v>3391</v>
      </c>
      <c r="M186" s="106" t="s">
        <v>87</v>
      </c>
      <c r="N186" s="127"/>
      <c r="O186" s="108"/>
      <c r="P186" s="107"/>
      <c r="Q186" s="108"/>
      <c r="R186" s="110"/>
      <c r="S186" s="204">
        <f>S179-SUM(S180:S182,S184:S185)</f>
        <v>2890655.8250177861</v>
      </c>
      <c r="T186" s="172" t="s">
        <v>93</v>
      </c>
    </row>
    <row r="187" spans="2:20" ht="12" customHeight="1" x14ac:dyDescent="0.2">
      <c r="B187" s="114" t="s">
        <v>96</v>
      </c>
      <c r="C187" s="115"/>
      <c r="D187" s="145"/>
      <c r="E187" s="115"/>
      <c r="F187" s="115"/>
      <c r="G187" s="117"/>
      <c r="H187" s="117"/>
      <c r="I187" s="117"/>
      <c r="J187" s="116"/>
      <c r="K187" s="116"/>
      <c r="L187" s="118"/>
      <c r="M187" s="118"/>
      <c r="N187" s="116"/>
      <c r="O187" s="116"/>
      <c r="P187" s="116"/>
      <c r="Q187" s="116"/>
      <c r="R187" s="54"/>
      <c r="S187" s="119">
        <f>S179-SUM(S180:S182,S184:S186)</f>
        <v>0</v>
      </c>
      <c r="T187" s="168"/>
    </row>
    <row r="188" spans="2:20" ht="12" customHeight="1" x14ac:dyDescent="0.2">
      <c r="B188" s="120"/>
      <c r="C188" s="121"/>
      <c r="D188" s="148"/>
      <c r="E188" s="121"/>
      <c r="F188" s="121"/>
      <c r="G188" s="123"/>
      <c r="H188" s="123"/>
      <c r="I188" s="123"/>
      <c r="J188" s="122"/>
      <c r="K188" s="122"/>
      <c r="L188" s="124"/>
      <c r="M188" s="124"/>
      <c r="N188" s="122"/>
      <c r="O188" s="122"/>
      <c r="P188" s="122"/>
      <c r="Q188" s="122"/>
      <c r="R188" s="125"/>
      <c r="S188" s="126"/>
      <c r="T188" s="171"/>
    </row>
    <row r="189" spans="2:20" ht="12" customHeight="1" x14ac:dyDescent="0.2">
      <c r="B189" s="102" t="s">
        <v>20</v>
      </c>
      <c r="C189" s="203">
        <v>342</v>
      </c>
      <c r="D189" s="199">
        <v>44253</v>
      </c>
      <c r="E189" s="200">
        <v>1050.9410150599999</v>
      </c>
      <c r="F189" s="201">
        <v>1500</v>
      </c>
      <c r="G189" s="49" t="s">
        <v>20</v>
      </c>
      <c r="H189" s="149"/>
      <c r="I189" s="149"/>
      <c r="J189" s="150"/>
      <c r="K189" s="150"/>
      <c r="L189" s="151"/>
      <c r="M189" s="150"/>
      <c r="N189" s="102"/>
      <c r="O189" s="152"/>
      <c r="P189" s="102"/>
      <c r="Q189" s="152"/>
      <c r="R189" s="153"/>
      <c r="S189" s="154">
        <f>E189*F189</f>
        <v>1576411.5225899999</v>
      </c>
      <c r="T189" s="159"/>
    </row>
    <row r="190" spans="2:20" ht="12" customHeight="1" x14ac:dyDescent="0.2">
      <c r="B190" s="32" t="s">
        <v>20</v>
      </c>
      <c r="C190" s="38" t="s">
        <v>21</v>
      </c>
      <c r="D190" s="138"/>
      <c r="E190" s="34"/>
      <c r="F190" s="35"/>
      <c r="G190" s="37" t="s">
        <v>22</v>
      </c>
      <c r="H190" s="37"/>
      <c r="I190" s="37"/>
      <c r="J190" s="38"/>
      <c r="K190" s="38"/>
      <c r="L190" s="39"/>
      <c r="M190" s="38"/>
      <c r="N190" s="32"/>
      <c r="O190" s="40"/>
      <c r="P190" s="32"/>
      <c r="Q190" s="40"/>
      <c r="R190" s="41"/>
      <c r="S190" s="119">
        <f>SUM(S189:S189)</f>
        <v>1576411.5225899999</v>
      </c>
      <c r="T190" s="159"/>
    </row>
    <row r="191" spans="2:20" ht="12" customHeight="1" x14ac:dyDescent="0.2">
      <c r="B191" s="206" t="s">
        <v>23</v>
      </c>
      <c r="C191" s="103"/>
      <c r="D191" s="173"/>
      <c r="E191" s="103"/>
      <c r="F191" s="103"/>
      <c r="G191" s="205" t="s">
        <v>24</v>
      </c>
      <c r="H191" s="103" t="s">
        <v>25</v>
      </c>
      <c r="I191" s="103" t="s">
        <v>26</v>
      </c>
      <c r="J191" s="20">
        <v>341</v>
      </c>
      <c r="K191" s="20" t="s">
        <v>27</v>
      </c>
      <c r="L191" s="106" t="s">
        <v>28</v>
      </c>
      <c r="M191" s="20" t="s">
        <v>29</v>
      </c>
      <c r="N191" s="127">
        <f>S190*1%</f>
        <v>15764.115225899999</v>
      </c>
      <c r="O191" s="108">
        <v>0.1115</v>
      </c>
      <c r="P191" s="107">
        <f t="array" ref="P191">N191/(1-O191)</f>
        <v>17742.391925604952</v>
      </c>
      <c r="Q191" s="108">
        <v>6.1499999999999999E-2</v>
      </c>
      <c r="R191" s="110">
        <f>Q191*P191</f>
        <v>1091.1571034247045</v>
      </c>
      <c r="S191" s="204">
        <f>P191*(1-Q191)</f>
        <v>16651.234822180246</v>
      </c>
      <c r="T191" s="169" t="s">
        <v>74</v>
      </c>
    </row>
    <row r="192" spans="2:20" ht="12" customHeight="1" x14ac:dyDescent="0.2">
      <c r="B192" s="204" t="s">
        <v>23</v>
      </c>
      <c r="C192" s="103"/>
      <c r="D192" s="173"/>
      <c r="E192" s="103"/>
      <c r="F192" s="103"/>
      <c r="G192" s="205" t="s">
        <v>30</v>
      </c>
      <c r="H192" s="103" t="s">
        <v>25</v>
      </c>
      <c r="I192" s="103" t="s">
        <v>26</v>
      </c>
      <c r="J192" s="20">
        <v>341</v>
      </c>
      <c r="K192" s="20" t="s">
        <v>27</v>
      </c>
      <c r="L192" s="106" t="s">
        <v>28</v>
      </c>
      <c r="M192" s="20" t="s">
        <v>29</v>
      </c>
      <c r="N192" s="127">
        <f>S190*1%</f>
        <v>15764.115225899999</v>
      </c>
      <c r="O192" s="108">
        <v>0.1115</v>
      </c>
      <c r="P192" s="107">
        <f t="array" ref="P192">N192/(1-O192)</f>
        <v>17742.391925604952</v>
      </c>
      <c r="Q192" s="108">
        <v>6.1499999999999999E-2</v>
      </c>
      <c r="R192" s="110">
        <f t="array" ref="R192">Q192*P192</f>
        <v>1091.1571034247045</v>
      </c>
      <c r="S192" s="204">
        <f t="shared" ref="S192" si="16">P192*(1-Q192)</f>
        <v>16651.234822180246</v>
      </c>
      <c r="T192" s="172" t="s">
        <v>74</v>
      </c>
    </row>
    <row r="193" spans="2:20" ht="12" customHeight="1" x14ac:dyDescent="0.2">
      <c r="B193" s="202" t="s">
        <v>52</v>
      </c>
      <c r="C193" s="174"/>
      <c r="D193" s="175"/>
      <c r="E193" s="174"/>
      <c r="F193" s="174"/>
      <c r="G193" s="36" t="s">
        <v>51</v>
      </c>
      <c r="H193" s="36"/>
      <c r="I193" s="36"/>
      <c r="J193" s="212"/>
      <c r="K193" s="212"/>
      <c r="L193" s="212"/>
      <c r="M193" s="212"/>
      <c r="N193" s="119"/>
      <c r="O193" s="155"/>
      <c r="P193" s="119"/>
      <c r="Q193" s="155"/>
      <c r="R193" s="156"/>
      <c r="S193" s="119">
        <f>SUM(S194:S194)</f>
        <v>2182.3142068494089</v>
      </c>
      <c r="T193" s="176"/>
    </row>
    <row r="194" spans="2:20" ht="12" customHeight="1" x14ac:dyDescent="0.2">
      <c r="B194" s="203" t="s">
        <v>52</v>
      </c>
      <c r="C194" s="49"/>
      <c r="D194" s="145"/>
      <c r="E194" s="49"/>
      <c r="F194" s="49"/>
      <c r="G194" s="101" t="s">
        <v>53</v>
      </c>
      <c r="H194" s="49" t="s">
        <v>25</v>
      </c>
      <c r="I194" s="49" t="s">
        <v>26</v>
      </c>
      <c r="J194" s="213"/>
      <c r="K194" s="213"/>
      <c r="L194" s="213"/>
      <c r="M194" s="213"/>
      <c r="N194" s="48"/>
      <c r="O194" s="53"/>
      <c r="P194" s="102"/>
      <c r="Q194" s="53"/>
      <c r="R194" s="54"/>
      <c r="S194" s="48">
        <f>SUM(R191:R192)</f>
        <v>2182.3142068494089</v>
      </c>
      <c r="T194" s="168"/>
    </row>
    <row r="195" spans="2:20" ht="12" customHeight="1" x14ac:dyDescent="0.2">
      <c r="B195" s="204" t="s">
        <v>23</v>
      </c>
      <c r="C195" s="103"/>
      <c r="D195" s="146"/>
      <c r="E195" s="103"/>
      <c r="F195" s="103"/>
      <c r="G195" s="205" t="s">
        <v>88</v>
      </c>
      <c r="H195" s="103" t="s">
        <v>46</v>
      </c>
      <c r="I195" s="103" t="s">
        <v>47</v>
      </c>
      <c r="J195" s="106">
        <v>237</v>
      </c>
      <c r="K195" s="20" t="s">
        <v>32</v>
      </c>
      <c r="L195" s="106">
        <v>3391</v>
      </c>
      <c r="M195" s="106" t="s">
        <v>87</v>
      </c>
      <c r="N195" s="107"/>
      <c r="O195" s="108"/>
      <c r="P195" s="109"/>
      <c r="Q195" s="108"/>
      <c r="R195" s="110"/>
      <c r="S195" s="204">
        <v>84181.89</v>
      </c>
      <c r="T195" s="169" t="s">
        <v>92</v>
      </c>
    </row>
    <row r="196" spans="2:20" ht="12" customHeight="1" x14ac:dyDescent="0.2">
      <c r="B196" s="204" t="s">
        <v>23</v>
      </c>
      <c r="C196" s="103"/>
      <c r="D196" s="146"/>
      <c r="E196" s="103"/>
      <c r="F196" s="103"/>
      <c r="G196" s="205" t="s">
        <v>91</v>
      </c>
      <c r="H196" s="103" t="s">
        <v>46</v>
      </c>
      <c r="I196" s="103" t="s">
        <v>47</v>
      </c>
      <c r="J196" s="106">
        <v>237</v>
      </c>
      <c r="K196" s="20" t="s">
        <v>32</v>
      </c>
      <c r="L196" s="106">
        <v>3391</v>
      </c>
      <c r="M196" s="106" t="s">
        <v>87</v>
      </c>
      <c r="N196" s="107"/>
      <c r="O196" s="108"/>
      <c r="P196" s="109"/>
      <c r="Q196" s="108"/>
      <c r="R196" s="110"/>
      <c r="S196" s="204">
        <v>42675.77</v>
      </c>
      <c r="T196" s="169" t="s">
        <v>95</v>
      </c>
    </row>
    <row r="197" spans="2:20" ht="12" customHeight="1" x14ac:dyDescent="0.2">
      <c r="B197" s="204" t="s">
        <v>23</v>
      </c>
      <c r="C197" s="103"/>
      <c r="D197" s="146"/>
      <c r="E197" s="103"/>
      <c r="F197" s="103"/>
      <c r="G197" s="205" t="s">
        <v>86</v>
      </c>
      <c r="H197" s="103" t="s">
        <v>46</v>
      </c>
      <c r="I197" s="103" t="s">
        <v>47</v>
      </c>
      <c r="J197" s="106">
        <v>237</v>
      </c>
      <c r="K197" s="20" t="s">
        <v>32</v>
      </c>
      <c r="L197" s="106">
        <v>3391</v>
      </c>
      <c r="M197" s="106" t="s">
        <v>87</v>
      </c>
      <c r="N197" s="127"/>
      <c r="O197" s="108"/>
      <c r="P197" s="107"/>
      <c r="Q197" s="108"/>
      <c r="R197" s="110"/>
      <c r="S197" s="204">
        <f>S190-SUM(S191:S193,S195:S196)</f>
        <v>1414069.07873879</v>
      </c>
      <c r="T197" s="172" t="s">
        <v>93</v>
      </c>
    </row>
    <row r="198" spans="2:20" ht="12" customHeight="1" x14ac:dyDescent="0.2">
      <c r="B198" s="114" t="s">
        <v>96</v>
      </c>
      <c r="C198" s="115"/>
      <c r="D198" s="145"/>
      <c r="E198" s="115"/>
      <c r="F198" s="115"/>
      <c r="G198" s="117"/>
      <c r="H198" s="117"/>
      <c r="I198" s="117"/>
      <c r="J198" s="116"/>
      <c r="K198" s="116"/>
      <c r="L198" s="118"/>
      <c r="M198" s="118"/>
      <c r="N198" s="116"/>
      <c r="O198" s="116"/>
      <c r="P198" s="116"/>
      <c r="Q198" s="116"/>
      <c r="R198" s="54"/>
      <c r="S198" s="119">
        <f>S190-SUM(S191:S193,S195:S197)</f>
        <v>0</v>
      </c>
      <c r="T198" s="168"/>
    </row>
    <row r="199" spans="2:20" ht="12" customHeight="1" x14ac:dyDescent="0.2">
      <c r="B199" s="120"/>
      <c r="C199" s="121"/>
      <c r="D199" s="148"/>
      <c r="E199" s="121"/>
      <c r="F199" s="121"/>
      <c r="G199" s="123"/>
      <c r="H199" s="123"/>
      <c r="I199" s="123"/>
      <c r="J199" s="122"/>
      <c r="K199" s="122"/>
      <c r="L199" s="124"/>
      <c r="M199" s="124"/>
      <c r="N199" s="122"/>
      <c r="O199" s="122"/>
      <c r="P199" s="122"/>
      <c r="Q199" s="122"/>
      <c r="R199" s="125"/>
      <c r="S199" s="126"/>
      <c r="T199" s="171"/>
    </row>
    <row r="200" spans="2:20" ht="12" customHeight="1" x14ac:dyDescent="0.2">
      <c r="B200" s="102" t="s">
        <v>20</v>
      </c>
      <c r="C200" s="208">
        <v>341</v>
      </c>
      <c r="D200" s="199">
        <v>44279</v>
      </c>
      <c r="E200" s="200">
        <v>1054.6574854400001</v>
      </c>
      <c r="F200" s="201">
        <v>11050</v>
      </c>
      <c r="G200" s="49" t="s">
        <v>20</v>
      </c>
      <c r="H200" s="149"/>
      <c r="I200" s="149"/>
      <c r="J200" s="150"/>
      <c r="K200" s="150"/>
      <c r="L200" s="151"/>
      <c r="M200" s="150"/>
      <c r="N200" s="102"/>
      <c r="O200" s="152"/>
      <c r="P200" s="102"/>
      <c r="Q200" s="152"/>
      <c r="R200" s="153"/>
      <c r="S200" s="154">
        <f>E200*F200</f>
        <v>11653965.214112001</v>
      </c>
      <c r="T200" s="159"/>
    </row>
    <row r="201" spans="2:20" ht="12" customHeight="1" x14ac:dyDescent="0.2">
      <c r="B201" s="102" t="s">
        <v>20</v>
      </c>
      <c r="C201" s="208">
        <v>342</v>
      </c>
      <c r="D201" s="199">
        <v>44279</v>
      </c>
      <c r="E201" s="200">
        <v>1055.5314614599999</v>
      </c>
      <c r="F201" s="201">
        <v>5950</v>
      </c>
      <c r="G201" s="49" t="s">
        <v>20</v>
      </c>
      <c r="H201" s="149"/>
      <c r="I201" s="149"/>
      <c r="J201" s="150"/>
      <c r="K201" s="150"/>
      <c r="L201" s="151"/>
      <c r="M201" s="150"/>
      <c r="N201" s="102"/>
      <c r="O201" s="152"/>
      <c r="P201" s="102"/>
      <c r="Q201" s="152"/>
      <c r="R201" s="153"/>
      <c r="S201" s="154">
        <f>E201*F201</f>
        <v>6280412.1956869997</v>
      </c>
      <c r="T201" s="159"/>
    </row>
    <row r="202" spans="2:20" ht="12" customHeight="1" x14ac:dyDescent="0.2">
      <c r="B202" s="32" t="s">
        <v>20</v>
      </c>
      <c r="C202" s="38" t="s">
        <v>21</v>
      </c>
      <c r="D202" s="138"/>
      <c r="E202" s="34"/>
      <c r="F202" s="35"/>
      <c r="G202" s="37" t="s">
        <v>22</v>
      </c>
      <c r="H202" s="37"/>
      <c r="I202" s="37"/>
      <c r="J202" s="38"/>
      <c r="K202" s="38"/>
      <c r="L202" s="39"/>
      <c r="M202" s="38"/>
      <c r="N202" s="32"/>
      <c r="O202" s="40"/>
      <c r="P202" s="32"/>
      <c r="Q202" s="40"/>
      <c r="R202" s="41"/>
      <c r="S202" s="119">
        <f>SUM(S200:S201)</f>
        <v>17934377.409799002</v>
      </c>
      <c r="T202" s="159"/>
    </row>
    <row r="203" spans="2:20" ht="12" customHeight="1" x14ac:dyDescent="0.2">
      <c r="B203" s="206" t="s">
        <v>23</v>
      </c>
      <c r="C203" s="103"/>
      <c r="D203" s="173"/>
      <c r="E203" s="103"/>
      <c r="F203" s="103"/>
      <c r="G203" s="205" t="s">
        <v>24</v>
      </c>
      <c r="H203" s="103" t="s">
        <v>25</v>
      </c>
      <c r="I203" s="103" t="s">
        <v>26</v>
      </c>
      <c r="J203" s="20">
        <v>341</v>
      </c>
      <c r="K203" s="20" t="s">
        <v>27</v>
      </c>
      <c r="L203" s="106" t="s">
        <v>28</v>
      </c>
      <c r="M203" s="20" t="s">
        <v>29</v>
      </c>
      <c r="N203" s="127">
        <f>S202*1%</f>
        <v>179343.77409799001</v>
      </c>
      <c r="O203" s="108">
        <v>0.1115</v>
      </c>
      <c r="P203" s="107">
        <f t="array" ref="P203">N203/(1-O203)</f>
        <v>201850.05525941477</v>
      </c>
      <c r="Q203" s="108">
        <v>6.1499999999999999E-2</v>
      </c>
      <c r="R203" s="110">
        <f>Q203*P203</f>
        <v>12413.778398454009</v>
      </c>
      <c r="S203" s="204">
        <f>P203*(1-Q203)</f>
        <v>189436.27686096076</v>
      </c>
      <c r="T203" s="169" t="s">
        <v>74</v>
      </c>
    </row>
    <row r="204" spans="2:20" ht="12" customHeight="1" x14ac:dyDescent="0.2">
      <c r="B204" s="204" t="s">
        <v>23</v>
      </c>
      <c r="C204" s="103"/>
      <c r="D204" s="173"/>
      <c r="E204" s="103"/>
      <c r="F204" s="103"/>
      <c r="G204" s="205" t="s">
        <v>30</v>
      </c>
      <c r="H204" s="103" t="s">
        <v>25</v>
      </c>
      <c r="I204" s="103" t="s">
        <v>26</v>
      </c>
      <c r="J204" s="20">
        <v>341</v>
      </c>
      <c r="K204" s="20" t="s">
        <v>27</v>
      </c>
      <c r="L204" s="106" t="s">
        <v>28</v>
      </c>
      <c r="M204" s="20" t="s">
        <v>29</v>
      </c>
      <c r="N204" s="127">
        <f>S202*1%</f>
        <v>179343.77409799001</v>
      </c>
      <c r="O204" s="108">
        <v>0.1115</v>
      </c>
      <c r="P204" s="107">
        <f t="array" ref="P204">N204/(1-O204)</f>
        <v>201850.05525941477</v>
      </c>
      <c r="Q204" s="108">
        <v>6.1499999999999999E-2</v>
      </c>
      <c r="R204" s="110">
        <f t="array" ref="R204">Q204*P204</f>
        <v>12413.778398454009</v>
      </c>
      <c r="S204" s="204">
        <f t="shared" ref="S204" si="17">P204*(1-Q204)</f>
        <v>189436.27686096076</v>
      </c>
      <c r="T204" s="172" t="s">
        <v>74</v>
      </c>
    </row>
    <row r="205" spans="2:20" ht="12" customHeight="1" x14ac:dyDescent="0.2">
      <c r="B205" s="209" t="s">
        <v>52</v>
      </c>
      <c r="C205" s="174"/>
      <c r="D205" s="175"/>
      <c r="E205" s="174"/>
      <c r="F205" s="174"/>
      <c r="G205" s="36" t="s">
        <v>51</v>
      </c>
      <c r="H205" s="36"/>
      <c r="I205" s="36"/>
      <c r="J205" s="212"/>
      <c r="K205" s="212"/>
      <c r="L205" s="212"/>
      <c r="M205" s="212"/>
      <c r="N205" s="119"/>
      <c r="O205" s="155"/>
      <c r="P205" s="119"/>
      <c r="Q205" s="155"/>
      <c r="R205" s="156"/>
      <c r="S205" s="119">
        <f>SUM(S206:S206)</f>
        <v>24827.556796908018</v>
      </c>
      <c r="T205" s="176"/>
    </row>
    <row r="206" spans="2:20" ht="12" customHeight="1" x14ac:dyDescent="0.2">
      <c r="B206" s="208" t="s">
        <v>52</v>
      </c>
      <c r="C206" s="49"/>
      <c r="D206" s="145"/>
      <c r="E206" s="49"/>
      <c r="F206" s="49"/>
      <c r="G206" s="101" t="s">
        <v>53</v>
      </c>
      <c r="H206" s="49" t="s">
        <v>25</v>
      </c>
      <c r="I206" s="49" t="s">
        <v>26</v>
      </c>
      <c r="J206" s="213"/>
      <c r="K206" s="213"/>
      <c r="L206" s="213"/>
      <c r="M206" s="213"/>
      <c r="N206" s="48"/>
      <c r="O206" s="53"/>
      <c r="P206" s="102"/>
      <c r="Q206" s="53"/>
      <c r="R206" s="54"/>
      <c r="S206" s="48">
        <f>SUM(R203:R204)</f>
        <v>24827.556796908018</v>
      </c>
      <c r="T206" s="168"/>
    </row>
    <row r="207" spans="2:20" ht="12" customHeight="1" x14ac:dyDescent="0.2">
      <c r="B207" s="204" t="s">
        <v>23</v>
      </c>
      <c r="C207" s="103"/>
      <c r="D207" s="146"/>
      <c r="E207" s="103"/>
      <c r="F207" s="103"/>
      <c r="G207" s="205" t="s">
        <v>88</v>
      </c>
      <c r="H207" s="103" t="s">
        <v>46</v>
      </c>
      <c r="I207" s="103" t="s">
        <v>47</v>
      </c>
      <c r="J207" s="106">
        <v>237</v>
      </c>
      <c r="K207" s="20" t="s">
        <v>32</v>
      </c>
      <c r="L207" s="106">
        <v>3391</v>
      </c>
      <c r="M207" s="106" t="s">
        <v>87</v>
      </c>
      <c r="N207" s="107"/>
      <c r="O207" s="108"/>
      <c r="P207" s="109"/>
      <c r="Q207" s="108"/>
      <c r="R207" s="110"/>
      <c r="S207" s="204">
        <v>0</v>
      </c>
      <c r="T207" s="169" t="s">
        <v>92</v>
      </c>
    </row>
    <row r="208" spans="2:20" ht="12" customHeight="1" x14ac:dyDescent="0.2">
      <c r="B208" s="204" t="s">
        <v>23</v>
      </c>
      <c r="C208" s="103"/>
      <c r="D208" s="146"/>
      <c r="E208" s="103"/>
      <c r="F208" s="103"/>
      <c r="G208" s="205" t="s">
        <v>86</v>
      </c>
      <c r="H208" s="103" t="s">
        <v>46</v>
      </c>
      <c r="I208" s="103" t="s">
        <v>47</v>
      </c>
      <c r="J208" s="106">
        <v>237</v>
      </c>
      <c r="K208" s="20" t="s">
        <v>32</v>
      </c>
      <c r="L208" s="106">
        <v>3391</v>
      </c>
      <c r="M208" s="106" t="s">
        <v>87</v>
      </c>
      <c r="N208" s="127"/>
      <c r="O208" s="108"/>
      <c r="P208" s="107"/>
      <c r="Q208" s="108"/>
      <c r="R208" s="110"/>
      <c r="S208" s="204">
        <f>S202-SUM(S203:S205,S207:S207)</f>
        <v>17530677.299280174</v>
      </c>
      <c r="T208" s="172" t="s">
        <v>93</v>
      </c>
    </row>
    <row r="209" spans="2:20" ht="12" customHeight="1" x14ac:dyDescent="0.2">
      <c r="B209" s="114" t="s">
        <v>96</v>
      </c>
      <c r="C209" s="115"/>
      <c r="D209" s="145"/>
      <c r="E209" s="115"/>
      <c r="F209" s="115"/>
      <c r="G209" s="117"/>
      <c r="H209" s="117"/>
      <c r="I209" s="117"/>
      <c r="J209" s="116"/>
      <c r="K209" s="116"/>
      <c r="L209" s="118"/>
      <c r="M209" s="118"/>
      <c r="N209" s="116"/>
      <c r="O209" s="116"/>
      <c r="P209" s="116"/>
      <c r="Q209" s="116"/>
      <c r="R209" s="54"/>
      <c r="S209" s="119">
        <f>S202-SUM(S203:S205,S207:S208)</f>
        <v>0</v>
      </c>
      <c r="T209" s="168"/>
    </row>
    <row r="210" spans="2:20" ht="12" customHeight="1" x14ac:dyDescent="0.2">
      <c r="B210" s="120"/>
      <c r="C210" s="121"/>
      <c r="D210" s="148"/>
      <c r="E210" s="121"/>
      <c r="F210" s="121"/>
      <c r="G210" s="123"/>
      <c r="H210" s="123"/>
      <c r="I210" s="123"/>
      <c r="J210" s="122"/>
      <c r="K210" s="122"/>
      <c r="L210" s="124"/>
      <c r="M210" s="124"/>
      <c r="N210" s="122"/>
      <c r="O210" s="122"/>
      <c r="P210" s="122"/>
      <c r="Q210" s="122"/>
      <c r="R210" s="125"/>
      <c r="S210" s="126"/>
      <c r="T210" s="171"/>
    </row>
    <row r="211" spans="2:20" ht="12" customHeight="1" x14ac:dyDescent="0.2">
      <c r="B211" s="102" t="s">
        <v>20</v>
      </c>
      <c r="C211" s="211">
        <v>341</v>
      </c>
      <c r="D211" s="199">
        <v>44280</v>
      </c>
      <c r="E211" s="200">
        <v>1056.35408441</v>
      </c>
      <c r="F211" s="201">
        <v>19500</v>
      </c>
      <c r="G211" s="49" t="s">
        <v>20</v>
      </c>
      <c r="H211" s="149"/>
      <c r="I211" s="149"/>
      <c r="J211" s="150"/>
      <c r="K211" s="150"/>
      <c r="L211" s="151"/>
      <c r="M211" s="150"/>
      <c r="N211" s="102"/>
      <c r="O211" s="152"/>
      <c r="P211" s="102"/>
      <c r="Q211" s="152"/>
      <c r="R211" s="153"/>
      <c r="S211" s="154">
        <f>E211*F211</f>
        <v>20598904.645995002</v>
      </c>
      <c r="T211" s="159"/>
    </row>
    <row r="212" spans="2:20" ht="12" customHeight="1" x14ac:dyDescent="0.2">
      <c r="B212" s="102" t="s">
        <v>20</v>
      </c>
      <c r="C212" s="211">
        <v>342</v>
      </c>
      <c r="D212" s="199">
        <v>44280</v>
      </c>
      <c r="E212" s="200">
        <v>1057.4945057699999</v>
      </c>
      <c r="F212" s="201">
        <v>10500</v>
      </c>
      <c r="G212" s="49" t="s">
        <v>20</v>
      </c>
      <c r="H212" s="149"/>
      <c r="I212" s="149"/>
      <c r="J212" s="150"/>
      <c r="K212" s="150"/>
      <c r="L212" s="151"/>
      <c r="M212" s="150"/>
      <c r="N212" s="102"/>
      <c r="O212" s="152"/>
      <c r="P212" s="102"/>
      <c r="Q212" s="152"/>
      <c r="R212" s="153"/>
      <c r="S212" s="154">
        <f>E212*F212</f>
        <v>11103692.310585</v>
      </c>
      <c r="T212" s="159"/>
    </row>
    <row r="213" spans="2:20" ht="12" customHeight="1" x14ac:dyDescent="0.2">
      <c r="B213" s="32" t="s">
        <v>20</v>
      </c>
      <c r="C213" s="38" t="s">
        <v>21</v>
      </c>
      <c r="D213" s="138"/>
      <c r="E213" s="34"/>
      <c r="F213" s="35"/>
      <c r="G213" s="37" t="s">
        <v>22</v>
      </c>
      <c r="H213" s="37"/>
      <c r="I213" s="37"/>
      <c r="J213" s="38"/>
      <c r="K213" s="38"/>
      <c r="L213" s="39"/>
      <c r="M213" s="38"/>
      <c r="N213" s="32"/>
      <c r="O213" s="40"/>
      <c r="P213" s="32"/>
      <c r="Q213" s="40"/>
      <c r="R213" s="41"/>
      <c r="S213" s="119">
        <f>SUM(S211:S212)</f>
        <v>31702596.956580002</v>
      </c>
      <c r="T213" s="159"/>
    </row>
    <row r="214" spans="2:20" ht="12" customHeight="1" x14ac:dyDescent="0.2">
      <c r="B214" s="206" t="s">
        <v>23</v>
      </c>
      <c r="C214" s="103"/>
      <c r="D214" s="173"/>
      <c r="E214" s="103"/>
      <c r="F214" s="103"/>
      <c r="G214" s="205" t="s">
        <v>24</v>
      </c>
      <c r="H214" s="103" t="s">
        <v>25</v>
      </c>
      <c r="I214" s="103" t="s">
        <v>26</v>
      </c>
      <c r="J214" s="20">
        <v>341</v>
      </c>
      <c r="K214" s="20" t="s">
        <v>27</v>
      </c>
      <c r="L214" s="106" t="s">
        <v>28</v>
      </c>
      <c r="M214" s="20" t="s">
        <v>29</v>
      </c>
      <c r="N214" s="127">
        <f>S213*1%</f>
        <v>317025.96956580004</v>
      </c>
      <c r="O214" s="108">
        <v>0.1115</v>
      </c>
      <c r="P214" s="107">
        <f t="array" ref="P214">N214/(1-O214)</f>
        <v>356810.32027664612</v>
      </c>
      <c r="Q214" s="108">
        <v>6.1499999999999999E-2</v>
      </c>
      <c r="R214" s="110">
        <f>Q214*P214</f>
        <v>21943.834697013735</v>
      </c>
      <c r="S214" s="204">
        <f>P214*(1-Q214)</f>
        <v>334866.4855796324</v>
      </c>
      <c r="T214" s="169" t="s">
        <v>74</v>
      </c>
    </row>
    <row r="215" spans="2:20" ht="12" customHeight="1" x14ac:dyDescent="0.2">
      <c r="B215" s="204" t="s">
        <v>23</v>
      </c>
      <c r="C215" s="103"/>
      <c r="D215" s="173"/>
      <c r="E215" s="103"/>
      <c r="F215" s="103"/>
      <c r="G215" s="205" t="s">
        <v>30</v>
      </c>
      <c r="H215" s="103" t="s">
        <v>25</v>
      </c>
      <c r="I215" s="103" t="s">
        <v>26</v>
      </c>
      <c r="J215" s="20">
        <v>341</v>
      </c>
      <c r="K215" s="20" t="s">
        <v>27</v>
      </c>
      <c r="L215" s="106" t="s">
        <v>28</v>
      </c>
      <c r="M215" s="20" t="s">
        <v>29</v>
      </c>
      <c r="N215" s="127">
        <f>S213*1%</f>
        <v>317025.96956580004</v>
      </c>
      <c r="O215" s="108">
        <v>0.1115</v>
      </c>
      <c r="P215" s="107">
        <f t="array" ref="P215">N215/(1-O215)</f>
        <v>356810.32027664612</v>
      </c>
      <c r="Q215" s="108">
        <v>6.1499999999999999E-2</v>
      </c>
      <c r="R215" s="110">
        <f t="array" ref="R215">Q215*P215</f>
        <v>21943.834697013735</v>
      </c>
      <c r="S215" s="204">
        <f t="shared" ref="S215" si="18">P215*(1-Q215)</f>
        <v>334866.4855796324</v>
      </c>
      <c r="T215" s="172" t="s">
        <v>74</v>
      </c>
    </row>
    <row r="216" spans="2:20" ht="12" customHeight="1" x14ac:dyDescent="0.2">
      <c r="B216" s="210" t="s">
        <v>52</v>
      </c>
      <c r="C216" s="174"/>
      <c r="D216" s="175"/>
      <c r="E216" s="174"/>
      <c r="F216" s="174"/>
      <c r="G216" s="36" t="s">
        <v>51</v>
      </c>
      <c r="H216" s="36"/>
      <c r="I216" s="36"/>
      <c r="J216" s="212"/>
      <c r="K216" s="212"/>
      <c r="L216" s="212"/>
      <c r="M216" s="212"/>
      <c r="N216" s="119"/>
      <c r="O216" s="155"/>
      <c r="P216" s="119"/>
      <c r="Q216" s="155"/>
      <c r="R216" s="156"/>
      <c r="S216" s="119">
        <f>SUM(S217:S217)</f>
        <v>43887.669394027471</v>
      </c>
      <c r="T216" s="176"/>
    </row>
    <row r="217" spans="2:20" ht="12" customHeight="1" x14ac:dyDescent="0.2">
      <c r="B217" s="211" t="s">
        <v>52</v>
      </c>
      <c r="C217" s="49"/>
      <c r="D217" s="145"/>
      <c r="E217" s="49"/>
      <c r="F217" s="49"/>
      <c r="G217" s="101" t="s">
        <v>53</v>
      </c>
      <c r="H217" s="49" t="s">
        <v>25</v>
      </c>
      <c r="I217" s="49" t="s">
        <v>26</v>
      </c>
      <c r="J217" s="213"/>
      <c r="K217" s="213"/>
      <c r="L217" s="213"/>
      <c r="M217" s="213"/>
      <c r="N217" s="48"/>
      <c r="O217" s="53"/>
      <c r="P217" s="102"/>
      <c r="Q217" s="53"/>
      <c r="R217" s="54"/>
      <c r="S217" s="48">
        <f>SUM(R214:R215)</f>
        <v>43887.669394027471</v>
      </c>
      <c r="T217" s="168"/>
    </row>
    <row r="218" spans="2:20" ht="12" customHeight="1" x14ac:dyDescent="0.2">
      <c r="B218" s="204" t="s">
        <v>23</v>
      </c>
      <c r="C218" s="103"/>
      <c r="D218" s="146"/>
      <c r="E218" s="103"/>
      <c r="F218" s="103"/>
      <c r="G218" s="205" t="s">
        <v>88</v>
      </c>
      <c r="H218" s="103" t="s">
        <v>46</v>
      </c>
      <c r="I218" s="103" t="s">
        <v>47</v>
      </c>
      <c r="J218" s="106">
        <v>237</v>
      </c>
      <c r="K218" s="20" t="s">
        <v>32</v>
      </c>
      <c r="L218" s="106">
        <v>3391</v>
      </c>
      <c r="M218" s="106" t="s">
        <v>87</v>
      </c>
      <c r="N218" s="107"/>
      <c r="O218" s="108"/>
      <c r="P218" s="109"/>
      <c r="Q218" s="108"/>
      <c r="R218" s="110"/>
      <c r="S218" s="204">
        <v>2818976.31602671</v>
      </c>
      <c r="T218" s="169" t="s">
        <v>92</v>
      </c>
    </row>
    <row r="219" spans="2:20" ht="12" customHeight="1" x14ac:dyDescent="0.2">
      <c r="B219" s="204" t="s">
        <v>23</v>
      </c>
      <c r="C219" s="103"/>
      <c r="D219" s="146"/>
      <c r="E219" s="103"/>
      <c r="F219" s="103"/>
      <c r="G219" s="205" t="s">
        <v>86</v>
      </c>
      <c r="H219" s="103" t="s">
        <v>46</v>
      </c>
      <c r="I219" s="103" t="s">
        <v>47</v>
      </c>
      <c r="J219" s="106">
        <v>237</v>
      </c>
      <c r="K219" s="20" t="s">
        <v>32</v>
      </c>
      <c r="L219" s="106">
        <v>3391</v>
      </c>
      <c r="M219" s="106" t="s">
        <v>87</v>
      </c>
      <c r="N219" s="127"/>
      <c r="O219" s="108"/>
      <c r="P219" s="107"/>
      <c r="Q219" s="108"/>
      <c r="R219" s="110"/>
      <c r="S219" s="204">
        <f>S213-SUM(S214:S216,S218:S218)</f>
        <v>28170000</v>
      </c>
      <c r="T219" s="172" t="s">
        <v>93</v>
      </c>
    </row>
    <row r="220" spans="2:20" ht="12" customHeight="1" x14ac:dyDescent="0.2">
      <c r="B220" s="114" t="s">
        <v>96</v>
      </c>
      <c r="C220" s="115"/>
      <c r="D220" s="145"/>
      <c r="E220" s="115"/>
      <c r="F220" s="115"/>
      <c r="G220" s="117"/>
      <c r="H220" s="117"/>
      <c r="I220" s="117"/>
      <c r="J220" s="116"/>
      <c r="K220" s="116"/>
      <c r="L220" s="118"/>
      <c r="M220" s="118"/>
      <c r="N220" s="116"/>
      <c r="O220" s="116"/>
      <c r="P220" s="116"/>
      <c r="Q220" s="116"/>
      <c r="R220" s="54"/>
      <c r="S220" s="119">
        <f>S213-SUM(S214:S216,S218:S219)</f>
        <v>0</v>
      </c>
      <c r="T220" s="168"/>
    </row>
    <row r="224" spans="2:20" ht="12" customHeight="1" thickBot="1" x14ac:dyDescent="0.25"/>
    <row r="225" spans="5:19" ht="12" customHeight="1" x14ac:dyDescent="0.2">
      <c r="H225" s="219" t="s">
        <v>58</v>
      </c>
      <c r="I225" s="219"/>
      <c r="J225" s="219"/>
      <c r="K225" s="219"/>
      <c r="L225" s="219"/>
      <c r="M225" s="219"/>
      <c r="N225" s="219"/>
    </row>
    <row r="226" spans="5:19" ht="12" customHeight="1" x14ac:dyDescent="0.2">
      <c r="H226" s="220"/>
      <c r="I226" s="220"/>
      <c r="J226" s="220"/>
      <c r="K226" s="220"/>
      <c r="L226" s="220"/>
      <c r="M226" s="220"/>
      <c r="N226" s="220"/>
    </row>
    <row r="228" spans="5:19" ht="12" customHeight="1" x14ac:dyDescent="0.2">
      <c r="E228" s="207"/>
      <c r="F228" s="207"/>
    </row>
    <row r="229" spans="5:19" ht="12" customHeight="1" x14ac:dyDescent="0.2">
      <c r="E229" s="207"/>
      <c r="F229" s="207"/>
    </row>
    <row r="231" spans="5:19" ht="12" customHeight="1" x14ac:dyDescent="0.2">
      <c r="N231" s="5"/>
      <c r="O231" s="108"/>
      <c r="P231" s="107"/>
      <c r="Q231" s="108"/>
      <c r="R231" s="110"/>
      <c r="S231" s="204"/>
    </row>
    <row r="232" spans="5:19" ht="12" customHeight="1" x14ac:dyDescent="0.2">
      <c r="N232" s="5"/>
      <c r="O232" s="108"/>
      <c r="P232" s="107"/>
      <c r="Q232" s="108"/>
      <c r="R232" s="110"/>
      <c r="S232" s="204"/>
    </row>
  </sheetData>
  <autoFilter ref="B8:T220" xr:uid="{69288AB9-4976-43BD-9408-5E93B10E2090}"/>
  <mergeCells count="47">
    <mergeCell ref="J40:M40"/>
    <mergeCell ref="J205:M205"/>
    <mergeCell ref="J206:M206"/>
    <mergeCell ref="H225:N226"/>
    <mergeCell ref="J24:M24"/>
    <mergeCell ref="J31:M31"/>
    <mergeCell ref="J25:M25"/>
    <mergeCell ref="J26:M26"/>
    <mergeCell ref="J27:M27"/>
    <mergeCell ref="J29:M29"/>
    <mergeCell ref="J30:M30"/>
    <mergeCell ref="J39:M39"/>
    <mergeCell ref="J60:M60"/>
    <mergeCell ref="J61:M61"/>
    <mergeCell ref="J70:M70"/>
    <mergeCell ref="J71:M71"/>
    <mergeCell ref="D2:G3"/>
    <mergeCell ref="B7:S7"/>
    <mergeCell ref="J21:M21"/>
    <mergeCell ref="J22:M22"/>
    <mergeCell ref="J23:M23"/>
    <mergeCell ref="J50:M50"/>
    <mergeCell ref="J51:M51"/>
    <mergeCell ref="J126:M126"/>
    <mergeCell ref="J127:M127"/>
    <mergeCell ref="J115:M115"/>
    <mergeCell ref="J116:M116"/>
    <mergeCell ref="J93:M93"/>
    <mergeCell ref="J83:M83"/>
    <mergeCell ref="J104:M104"/>
    <mergeCell ref="J82:M82"/>
    <mergeCell ref="J94:M94"/>
    <mergeCell ref="J138:M138"/>
    <mergeCell ref="J139:M139"/>
    <mergeCell ref="J172:M172"/>
    <mergeCell ref="J105:M105"/>
    <mergeCell ref="J171:M171"/>
    <mergeCell ref="J160:M160"/>
    <mergeCell ref="J161:M161"/>
    <mergeCell ref="J150:M150"/>
    <mergeCell ref="J149:M149"/>
    <mergeCell ref="J216:M216"/>
    <mergeCell ref="J217:M217"/>
    <mergeCell ref="J193:M193"/>
    <mergeCell ref="J194:M194"/>
    <mergeCell ref="J182:M182"/>
    <mergeCell ref="J183:M183"/>
  </mergeCells>
  <dataValidations count="1">
    <dataValidation type="list" allowBlank="1" showInputMessage="1" showErrorMessage="1" sqref="B14:B25 B70:B71 B68 B61 B58 B51 B48 B40 B37 B11 B27:B31 B82:B83 B80 B93:B94 B91 B104:B105 B102 B115:B116 B113 B126:B127 B124 B138:B139 B136 B149:B150 B147 B160:B161 B158 B171:B172 B169 B182:B183 B180 B193:B194 B191 B205:B206 B203 B216:B217 B214" xr:uid="{4F999F0F-60A8-427D-B46B-44EC580A5587}">
      <formula1>#REF!</formula1>
    </dataValidation>
  </dataValidations>
  <printOptions horizontalCentered="1" verticalCentered="1"/>
  <pageMargins left="0.11811023622047245" right="0.11811023622047245" top="0.39370078740157483" bottom="0.39370078740157483" header="0" footer="0"/>
  <pageSetup paperSize="9" scale="3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1E3830-7B38-4735-868D-A5B599E99206}">
          <x14:formula1>
            <xm:f>'Z:\1_Negocios\3_Gestao\2_CRI\CRI_S218_219_A&amp;C Lima\2_Estruturacao\7_Liquidacao\3_Mapa de Liquidação\[20190606_CRI_S218_219_A&amp;CLima_Mapa_Liquidação.xlsx]Referencias'!#REF!</xm:f>
          </x14:formula1>
          <xm:sqref>B26 B32:B36 B12 B41:B47 B38:B39 B52:B57 B49:B50 B62:B67 B59:B60 B72:B79 B69 B81 B84:B90 B92 B95:B101 B106:B112 B103 B114 B117:B123 B128:B135 B125 B173:B179 B137 B151:B157 B148 B184:B190 B159 B140:B146 B170 B162:B168 B181 B192 B9:B10 B204 B195:B202 B207:B213 B215 B218:B220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2565C418707D4AA9D5B20100C39FAD" ma:contentTypeVersion="13" ma:contentTypeDescription="Crie um novo documento." ma:contentTypeScope="" ma:versionID="57b720f961935729ee5bfb3f7b3b745e">
  <xsd:schema xmlns:xsd="http://www.w3.org/2001/XMLSchema" xmlns:xs="http://www.w3.org/2001/XMLSchema" xmlns:p="http://schemas.microsoft.com/office/2006/metadata/properties" xmlns:ns2="90be1033-61d5-46ad-ae3a-53f0d5f2e6d6" xmlns:ns3="bb6cd9ea-a165-46c7-8046-7d231703d635" targetNamespace="http://schemas.microsoft.com/office/2006/metadata/properties" ma:root="true" ma:fieldsID="3e4c59b9b2339eeb247f9c7769569ba7" ns2:_="" ns3:_="">
    <xsd:import namespace="90be1033-61d5-46ad-ae3a-53f0d5f2e6d6"/>
    <xsd:import namespace="bb6cd9ea-a165-46c7-8046-7d231703d63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e1033-61d5-46ad-ae3a-53f0d5f2e6d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cd9ea-a165-46c7-8046-7d231703d6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0be1033-61d5-46ad-ae3a-53f0d5f2e6d6">XYRVYRS7NR3H-414051584-592693</_dlc_DocId>
    <_dlc_DocIdUrl xmlns="90be1033-61d5-46ad-ae3a-53f0d5f2e6d6">
      <Url>https://contatofortesec.sharepoint.com/sites/Gestao/_layouts/15/DocIdRedir.aspx?ID=XYRVYRS7NR3H-414051584-592693</Url>
      <Description>XYRVYRS7NR3H-414051584-592693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D0225C9-BA78-4B82-B65B-09F379EE988D}"/>
</file>

<file path=customXml/itemProps2.xml><?xml version="1.0" encoding="utf-8"?>
<ds:datastoreItem xmlns:ds="http://schemas.openxmlformats.org/officeDocument/2006/customXml" ds:itemID="{17895CB3-AE0C-4E9B-BB6B-00D8E74DC8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766A05-8931-45B2-BCDE-3C2A350B796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dee0a48-fc0c-418b-95fb-08cb8e59e960"/>
  </ds:schemaRefs>
</ds:datastoreItem>
</file>

<file path=customXml/itemProps4.xml><?xml version="1.0" encoding="utf-8"?>
<ds:datastoreItem xmlns:ds="http://schemas.openxmlformats.org/officeDocument/2006/customXml" ds:itemID="{00CC759A-B738-4FE0-A847-8F26FF963B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Relatório Liquidação</vt:lpstr>
      <vt:lpstr>'Relatório Liquidação'!Print_Area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Dantas</dc:creator>
  <cp:lastModifiedBy>Nina Hansen</cp:lastModifiedBy>
  <cp:lastPrinted>2019-11-28T17:11:29Z</cp:lastPrinted>
  <dcterms:created xsi:type="dcterms:W3CDTF">2019-07-29T20:06:21Z</dcterms:created>
  <dcterms:modified xsi:type="dcterms:W3CDTF">2021-04-20T17:37:00Z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0x010100252565C418707D4AA9D5B20100C39FAD</vt:lpwstr>
  </property>
  <property fmtid="{D5CDD505-2E9C-101B-9397-08002B2CF9AE}" pid="3" name="Order">
    <vt:r8>10195000</vt:r8>
  </property>
  <property fmtid="{D5CDD505-2E9C-101B-9397-08002B2CF9AE}" pid="4" name="_dlc_DocIdItemGuid">
    <vt:lpwstr>8dec115a-b812-4ae3-81ae-acca14ef182a</vt:lpwstr>
  </property>
</Properties>
</file>