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contatofortesec.sharepoint.com/sites/Gestao/Documentos/CRI/CRI_S361_Gramado Dilly/2_Estruturação/7_Liquidacao/3_Mapa_de_Liquidacao/"/>
    </mc:Choice>
  </mc:AlternateContent>
  <xr:revisionPtr revIDLastSave="30" documentId="13_ncr:1_{FC62F8DC-E83D-45D4-96E1-3C49FE70CBA6}" xr6:coauthVersionLast="47" xr6:coauthVersionMax="47" xr10:uidLastSave="{6DE093A4-18C3-44A9-846A-5E67BEAB6AF7}"/>
  <bookViews>
    <workbookView xWindow="20370" yWindow="0" windowWidth="29040" windowHeight="15840" xr2:uid="{8B8E34DC-30F8-4853-A0F9-2DF1B67D42F3}"/>
  </bookViews>
  <sheets>
    <sheet name="Relatório Liquidação" sheetId="1" r:id="rId1"/>
  </sheets>
  <externalReferences>
    <externalReference r:id="rId2"/>
  </externalReferences>
  <definedNames>
    <definedName name="_xlnm._FilterDatabase" localSheetId="0" hidden="1">'Relatório Liquidação'!$A$7:$AA$32</definedName>
    <definedName name="Feriados" localSheetId="0">#REF!</definedName>
    <definedName name="Feriados">#REF!</definedName>
    <definedName name="_xlnm.Print_Area" localSheetId="0">'Relatório Liquidação'!$B$2:$U$58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8" i="1" l="1"/>
  <c r="S46" i="1"/>
  <c r="S45" i="1"/>
  <c r="S49" i="1" l="1"/>
  <c r="R37" i="1"/>
  <c r="R36" i="1"/>
  <c r="S36" i="1"/>
  <c r="S37" i="1"/>
  <c r="P12" i="1" l="1"/>
  <c r="S34" i="1" l="1"/>
  <c r="S35" i="1" s="1"/>
  <c r="S42" i="1" s="1"/>
  <c r="S43" i="1" s="1"/>
  <c r="P10" i="1" l="1"/>
  <c r="S10" i="1" s="1"/>
  <c r="N13" i="1" l="1"/>
  <c r="N14" i="1"/>
  <c r="P14" i="1" l="1"/>
  <c r="P13" i="1"/>
  <c r="S13" i="1" l="1"/>
  <c r="R13" i="1"/>
  <c r="D8" i="1" l="1"/>
  <c r="P11" i="1" l="1"/>
  <c r="S11" i="1" s="1"/>
  <c r="P17" i="1"/>
  <c r="P16" i="1"/>
  <c r="P15" i="1"/>
  <c r="R21" i="1"/>
  <c r="S17" i="1" l="1"/>
  <c r="S12" i="1" l="1"/>
  <c r="R12" i="1"/>
  <c r="S26" i="1" s="1"/>
  <c r="R22" i="1"/>
  <c r="R20" i="1"/>
  <c r="R19" i="1"/>
  <c r="R18" i="1"/>
  <c r="R16" i="1"/>
  <c r="S15" i="1"/>
  <c r="R15" i="1"/>
  <c r="S14" i="1"/>
  <c r="S8" i="1"/>
  <c r="S9" i="1" s="1"/>
  <c r="R11" i="1" l="1"/>
  <c r="S25" i="1" s="1"/>
  <c r="S16" i="1"/>
  <c r="R14" i="1"/>
  <c r="S27" i="1" s="1"/>
  <c r="R17" i="1"/>
  <c r="S28" i="1" s="1"/>
  <c r="R10" i="1" l="1"/>
  <c r="S24" i="1" s="1"/>
  <c r="S23" i="1" s="1"/>
  <c r="S31" i="1" l="1"/>
  <c r="S32" i="1" l="1"/>
</calcChain>
</file>

<file path=xl/sharedStrings.xml><?xml version="1.0" encoding="utf-8"?>
<sst xmlns="http://schemas.openxmlformats.org/spreadsheetml/2006/main" count="226" uniqueCount="96">
  <si>
    <t>Demonstrativo Liquidação</t>
  </si>
  <si>
    <t>Natureza do Pagamento</t>
  </si>
  <si>
    <t>Série</t>
  </si>
  <si>
    <t xml:space="preserve">Data </t>
  </si>
  <si>
    <t>PU
Liquidação</t>
  </si>
  <si>
    <t>Quantidade</t>
  </si>
  <si>
    <t>Lançamento</t>
  </si>
  <si>
    <t>Razão Social</t>
  </si>
  <si>
    <t>CNPJ</t>
  </si>
  <si>
    <t>Número</t>
  </si>
  <si>
    <t>Banco</t>
  </si>
  <si>
    <t>Agência</t>
  </si>
  <si>
    <t>Conta</t>
  </si>
  <si>
    <t>Valor do Serviço</t>
  </si>
  <si>
    <t>Gross-Up</t>
  </si>
  <si>
    <t>Valor Bruto NF</t>
  </si>
  <si>
    <t>Retenção NF</t>
  </si>
  <si>
    <t>Retenção</t>
  </si>
  <si>
    <t>Valor</t>
  </si>
  <si>
    <t>Observação</t>
  </si>
  <si>
    <t>Integralização</t>
  </si>
  <si>
    <t>Total Dia</t>
  </si>
  <si>
    <t>Total Integralização</t>
  </si>
  <si>
    <t>Transferência</t>
  </si>
  <si>
    <t>Fee Estruturação</t>
  </si>
  <si>
    <t>TForte Participação Ltda</t>
  </si>
  <si>
    <t>21.567.223/0001-05</t>
  </si>
  <si>
    <t>Itaú Unibanco S.A.</t>
  </si>
  <si>
    <t>0869-8</t>
  </si>
  <si>
    <t>12663-1</t>
  </si>
  <si>
    <t xml:space="preserve">Advogados - Assessoria </t>
  </si>
  <si>
    <t>Coordenador Líder</t>
  </si>
  <si>
    <t>TERRA INVESTIMENTOS DTVM LTDA.</t>
  </si>
  <si>
    <t>03.751.794/0001-13</t>
  </si>
  <si>
    <t>CONVESTE AUDFILES SERVICOS FINANCEIROS LTDA</t>
  </si>
  <si>
    <t>29.758.816/0001-60</t>
  </si>
  <si>
    <t>43542-5</t>
  </si>
  <si>
    <t>Agente Fiduciário</t>
  </si>
  <si>
    <t>VX Partners Intermediação de Negócios Ltda.</t>
  </si>
  <si>
    <t>19.179.438/0001-07</t>
  </si>
  <si>
    <t>Agente Custodiante</t>
  </si>
  <si>
    <t>Agente Registrador CCI</t>
  </si>
  <si>
    <t xml:space="preserve">Provisão de Despesas </t>
  </si>
  <si>
    <t>Registro CCI B3 (Débito Automático)</t>
  </si>
  <si>
    <t>Forte Securitizadora S/A</t>
  </si>
  <si>
    <t>12.979.898/0001-70</t>
  </si>
  <si>
    <t>Registro CRI B3 (Débito Automático)</t>
  </si>
  <si>
    <t>Custos Mov. CRI/CCI B3 (Estimado-Deb. Aut.)</t>
  </si>
  <si>
    <t>Taxa de Registro - Anbima</t>
  </si>
  <si>
    <t>Retenção de Impostos sobre NFs</t>
  </si>
  <si>
    <t>Retenção de Impostos</t>
  </si>
  <si>
    <t>Imposto - TForte Participação Ltda</t>
  </si>
  <si>
    <t>Imposto - Coordenador Líder</t>
  </si>
  <si>
    <t>Imposto - Auditoria Financeira e Implantação</t>
  </si>
  <si>
    <t>Imposto - Agente Fiduciário</t>
  </si>
  <si>
    <t>Reembolso Forte</t>
  </si>
  <si>
    <t>Outros Custos (Reembolso)</t>
  </si>
  <si>
    <t>0869</t>
  </si>
  <si>
    <t>13447-8</t>
  </si>
  <si>
    <t>Fundo de Reserva</t>
  </si>
  <si>
    <t>Forte Securitizadora S.A.</t>
  </si>
  <si>
    <t>0644-0</t>
  </si>
  <si>
    <t>13548-5</t>
  </si>
  <si>
    <t>Elaborado por André Dantas</t>
  </si>
  <si>
    <t>Aguardar Transferência</t>
  </si>
  <si>
    <t>Pré - Análise B3</t>
  </si>
  <si>
    <t>Auditoria Financeira</t>
  </si>
  <si>
    <t>Implantação</t>
  </si>
  <si>
    <t>CRI Gramado Dilly - Mapa de Liquidação</t>
  </si>
  <si>
    <t>001</t>
  </si>
  <si>
    <t>Banco do Brasil S.A.</t>
  </si>
  <si>
    <t>Daló e Tognotti Sociedade de Advogados</t>
  </si>
  <si>
    <t>34.712.837/0001-85</t>
  </si>
  <si>
    <t>35517-5</t>
  </si>
  <si>
    <t>Conforme Proposta assinada</t>
  </si>
  <si>
    <t>Livre Destinação</t>
  </si>
  <si>
    <t>Imposto - Advogados</t>
  </si>
  <si>
    <t>2189-X</t>
  </si>
  <si>
    <t>20865-5</t>
  </si>
  <si>
    <t>8099-3</t>
  </si>
  <si>
    <t>Banco Bradesco S.A</t>
  </si>
  <si>
    <t>0560-6</t>
  </si>
  <si>
    <t>156.021-2</t>
  </si>
  <si>
    <t>ATHIVABRASIL EMPREENDIMENTOS IMOBILIÁRIOS LTDA.</t>
  </si>
  <si>
    <t>08.705.893/0001-82</t>
  </si>
  <si>
    <t>Banco Bradesco S/A</t>
  </si>
  <si>
    <t>Originador</t>
  </si>
  <si>
    <t>JZB CORPORATE ASSESSORIA EMPRESARIAL LTDA</t>
  </si>
  <si>
    <t>07.383.719/0001-06</t>
  </si>
  <si>
    <t>09.070.076/0001-68</t>
  </si>
  <si>
    <t>Banco Santander</t>
  </si>
  <si>
    <t xml:space="preserve">13.000639-4                                </t>
  </si>
  <si>
    <t xml:space="preserve">11729-1                              </t>
  </si>
  <si>
    <t>MS&amp;D PARTNERS CONS E INV LTDA</t>
  </si>
  <si>
    <t>Imposto - Originador MS&amp;D</t>
  </si>
  <si>
    <t>Imposto - Originador JZB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</si>
</sst>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#,##0.00;[Red]\-&quot;R$&quot;#,##0.00"/>
    <numFmt numFmtId="43" formatCode="_-* #,##0.00_-;\-* #,##0.00_-;_-* &quot;-&quot;??_-;_-@_-"/>
    <numFmt numFmtId="164" formatCode="&quot;R$&quot;\ #,##0.00;[Red]\-&quot;R$&quot;\ #,##0.00"/>
    <numFmt numFmtId="165" formatCode="0.0000%&quot; a.a.&quot;"/>
    <numFmt numFmtId="166" formatCode="_(#,##0_);_(\(#,##0\);_(&quot;-&quot;_);_(@_)"/>
    <numFmt numFmtId="167" formatCode="_(#,##0.00_);_(\(#,##0.00\);_(&quot;-&quot;_);_(@_)"/>
    <numFmt numFmtId="168" formatCode="#,##0.00_ ;\-#,##0.00\ "/>
  </numFmts>
  <fonts count="1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7.5"/>
      <name val="Arial"/>
      <family val="2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6DD"/>
        <bgColor indexed="64"/>
      </patternFill>
    </fill>
    <fill>
      <patternFill patternType="solid">
        <fgColor rgb="FFFBE4D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34998626667073579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189">
    <xf numFmtId="0" fontId="0" fillId="0" borderId="0" xfId="0"/>
    <xf numFmtId="43" fontId="3" fillId="4" borderId="0" xfId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/>
    <xf numFmtId="43" fontId="4" fillId="0" borderId="0" xfId="1" applyFont="1"/>
    <xf numFmtId="0" fontId="4" fillId="0" borderId="0" xfId="0" applyFont="1" applyFill="1"/>
    <xf numFmtId="2" fontId="5" fillId="2" borderId="0" xfId="1" applyNumberFormat="1" applyFont="1" applyFill="1"/>
    <xf numFmtId="0" fontId="4" fillId="0" borderId="0" xfId="0" applyFont="1" applyAlignment="1">
      <alignment horizontal="center"/>
    </xf>
    <xf numFmtId="43" fontId="4" fillId="0" borderId="0" xfId="0" applyNumberFormat="1" applyFont="1"/>
    <xf numFmtId="43" fontId="4" fillId="0" borderId="0" xfId="1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5" fontId="4" fillId="0" borderId="0" xfId="3" applyNumberFormat="1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0" borderId="4" xfId="7" applyFont="1" applyBorder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4" fillId="0" borderId="0" xfId="2" applyNumberFormat="1" applyFont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3" fillId="0" borderId="1" xfId="4" applyFont="1" applyBorder="1" applyAlignment="1">
      <alignment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Continuous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164" fontId="4" fillId="2" borderId="0" xfId="0" applyNumberFormat="1" applyFont="1" applyFill="1" applyAlignment="1">
      <alignment horizontal="center" vertical="center"/>
    </xf>
    <xf numFmtId="164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14" fontId="3" fillId="4" borderId="0" xfId="0" applyNumberFormat="1" applyFont="1" applyFill="1" applyBorder="1" applyAlignment="1">
      <alignment horizontal="center"/>
    </xf>
    <xf numFmtId="167" fontId="3" fillId="4" borderId="0" xfId="0" applyNumberFormat="1" applyFont="1" applyFill="1" applyBorder="1" applyAlignment="1">
      <alignment horizontal="center"/>
    </xf>
    <xf numFmtId="166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/>
    <xf numFmtId="0" fontId="3" fillId="4" borderId="0" xfId="0" applyFont="1" applyFill="1" applyBorder="1" applyAlignment="1">
      <alignment horizontal="center"/>
    </xf>
    <xf numFmtId="0" fontId="3" fillId="4" borderId="0" xfId="0" quotePrefix="1" applyFont="1" applyFill="1" applyBorder="1" applyAlignment="1">
      <alignment horizontal="center"/>
    </xf>
    <xf numFmtId="10" fontId="3" fillId="4" borderId="0" xfId="0" applyNumberFormat="1" applyFont="1" applyFill="1" applyBorder="1" applyAlignment="1">
      <alignment horizontal="center"/>
    </xf>
    <xf numFmtId="168" fontId="3" fillId="4" borderId="0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164" fontId="3" fillId="0" borderId="0" xfId="0" applyNumberFormat="1" applyFont="1"/>
    <xf numFmtId="0" fontId="3" fillId="0" borderId="0" xfId="0" applyFont="1"/>
    <xf numFmtId="168" fontId="3" fillId="4" borderId="0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4" fontId="3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64" fontId="4" fillId="4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10" fontId="4" fillId="4" borderId="0" xfId="0" applyNumberFormat="1" applyFont="1" applyFill="1" applyBorder="1" applyAlignment="1">
      <alignment horizontal="center" vertical="center"/>
    </xf>
    <xf numFmtId="43" fontId="4" fillId="4" borderId="0" xfId="1" applyFont="1" applyFill="1" applyBorder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vertical="center"/>
    </xf>
    <xf numFmtId="14" fontId="4" fillId="5" borderId="5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right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5" xfId="0" quotePrefix="1" applyFont="1" applyFill="1" applyBorder="1" applyAlignment="1">
      <alignment horizontal="center" vertical="center"/>
    </xf>
    <xf numFmtId="10" fontId="4" fillId="5" borderId="5" xfId="0" applyNumberFormat="1" applyFont="1" applyFill="1" applyBorder="1" applyAlignment="1">
      <alignment horizontal="center" vertical="center"/>
    </xf>
    <xf numFmtId="43" fontId="4" fillId="5" borderId="5" xfId="1" applyFont="1" applyFill="1" applyBorder="1" applyAlignment="1">
      <alignment horizontal="center" vertical="center"/>
    </xf>
    <xf numFmtId="164" fontId="4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/>
    </xf>
    <xf numFmtId="14" fontId="4" fillId="5" borderId="0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righ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quotePrefix="1" applyFont="1" applyFill="1" applyBorder="1" applyAlignment="1">
      <alignment horizontal="center" vertical="center"/>
    </xf>
    <xf numFmtId="10" fontId="4" fillId="5" borderId="0" xfId="0" applyNumberFormat="1" applyFont="1" applyFill="1" applyBorder="1" applyAlignment="1">
      <alignment horizontal="center" vertical="center"/>
    </xf>
    <xf numFmtId="43" fontId="4" fillId="5" borderId="0" xfId="1" applyFont="1" applyFill="1" applyBorder="1" applyAlignment="1">
      <alignment horizontal="center" vertical="center"/>
    </xf>
    <xf numFmtId="10" fontId="4" fillId="0" borderId="0" xfId="0" applyNumberFormat="1" applyFont="1" applyAlignment="1">
      <alignment vertical="center"/>
    </xf>
    <xf numFmtId="164" fontId="4" fillId="5" borderId="6" xfId="0" applyNumberFormat="1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right" vertical="center"/>
    </xf>
    <xf numFmtId="14" fontId="4" fillId="6" borderId="5" xfId="0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vertical="center"/>
    </xf>
    <xf numFmtId="164" fontId="4" fillId="6" borderId="5" xfId="0" applyNumberFormat="1" applyFont="1" applyFill="1" applyBorder="1" applyAlignment="1">
      <alignment horizontal="center" vertical="center"/>
    </xf>
    <xf numFmtId="10" fontId="4" fillId="6" borderId="5" xfId="0" applyNumberFormat="1" applyFont="1" applyFill="1" applyBorder="1" applyAlignment="1">
      <alignment horizontal="center" vertical="center"/>
    </xf>
    <xf numFmtId="43" fontId="4" fillId="6" borderId="5" xfId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right" vertical="center"/>
    </xf>
    <xf numFmtId="14" fontId="4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164" fontId="4" fillId="6" borderId="0" xfId="0" applyNumberFormat="1" applyFont="1" applyFill="1" applyBorder="1" applyAlignment="1">
      <alignment horizontal="center" vertical="center"/>
    </xf>
    <xf numFmtId="10" fontId="4" fillId="6" borderId="0" xfId="0" applyNumberFormat="1" applyFont="1" applyFill="1" applyBorder="1" applyAlignment="1">
      <alignment horizontal="center" vertical="center"/>
    </xf>
    <xf numFmtId="43" fontId="4" fillId="6" borderId="0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14" fontId="4" fillId="4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 indent="1"/>
    </xf>
    <xf numFmtId="164" fontId="4" fillId="4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49" fontId="4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 vertical="center"/>
    </xf>
    <xf numFmtId="164" fontId="3" fillId="4" borderId="0" xfId="0" applyNumberFormat="1" applyFont="1" applyFill="1" applyAlignment="1">
      <alignment horizontal="center"/>
    </xf>
    <xf numFmtId="164" fontId="4" fillId="0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3" fillId="4" borderId="0" xfId="0" applyNumberFormat="1" applyFont="1" applyFill="1" applyBorder="1" applyAlignment="1">
      <alignment horizontal="center" vertical="center"/>
    </xf>
    <xf numFmtId="43" fontId="3" fillId="4" borderId="0" xfId="0" applyNumberFormat="1" applyFont="1" applyFill="1" applyBorder="1" applyAlignment="1">
      <alignment vertical="center"/>
    </xf>
    <xf numFmtId="43" fontId="4" fillId="4" borderId="0" xfId="0" applyNumberFormat="1" applyFont="1" applyFill="1" applyBorder="1" applyAlignment="1">
      <alignment horizontal="center" vertical="center"/>
    </xf>
    <xf numFmtId="43" fontId="4" fillId="4" borderId="0" xfId="0" applyNumberFormat="1" applyFont="1" applyFill="1" applyBorder="1" applyAlignment="1">
      <alignment vertical="center"/>
    </xf>
    <xf numFmtId="43" fontId="4" fillId="4" borderId="0" xfId="0" quotePrefix="1" applyNumberFormat="1" applyFont="1" applyFill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3" borderId="0" xfId="0" applyFont="1" applyFill="1" applyBorder="1" applyAlignment="1">
      <alignment vertical="center"/>
    </xf>
    <xf numFmtId="166" fontId="3" fillId="3" borderId="0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167" fontId="3" fillId="3" borderId="0" xfId="0" applyNumberFormat="1" applyFont="1" applyFill="1" applyBorder="1" applyAlignment="1">
      <alignment horizontal="right" vertical="center"/>
    </xf>
    <xf numFmtId="164" fontId="3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43" fontId="3" fillId="0" borderId="0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vertical="center"/>
    </xf>
    <xf numFmtId="43" fontId="4" fillId="0" borderId="0" xfId="0" applyNumberFormat="1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vertical="center"/>
    </xf>
    <xf numFmtId="43" fontId="4" fillId="0" borderId="0" xfId="0" quotePrefix="1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4" fillId="0" borderId="0" xfId="0" quotePrefix="1" applyFont="1" applyFill="1" applyBorder="1" applyAlignment="1">
      <alignment horizontal="center" vertical="center"/>
    </xf>
    <xf numFmtId="8" fontId="4" fillId="0" borderId="0" xfId="0" applyNumberFormat="1" applyFont="1" applyAlignment="1">
      <alignment vertical="center"/>
    </xf>
    <xf numFmtId="164" fontId="10" fillId="4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center" vertical="center"/>
    </xf>
    <xf numFmtId="14" fontId="10" fillId="4" borderId="0" xfId="0" applyNumberFormat="1" applyFont="1" applyFill="1" applyAlignment="1">
      <alignment horizontal="center"/>
    </xf>
    <xf numFmtId="167" fontId="10" fillId="4" borderId="0" xfId="0" applyNumberFormat="1" applyFont="1" applyFill="1" applyAlignment="1">
      <alignment horizontal="center"/>
    </xf>
    <xf numFmtId="166" fontId="10" fillId="4" borderId="0" xfId="0" applyNumberFormat="1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0" fontId="10" fillId="4" borderId="0" xfId="0" quotePrefix="1" applyFont="1" applyFill="1" applyAlignment="1">
      <alignment horizontal="center"/>
    </xf>
    <xf numFmtId="10" fontId="10" fillId="4" borderId="0" xfId="0" applyNumberFormat="1" applyFont="1" applyFill="1" applyAlignment="1">
      <alignment horizontal="center"/>
    </xf>
    <xf numFmtId="43" fontId="10" fillId="4" borderId="0" xfId="1" applyFont="1" applyFill="1" applyBorder="1" applyAlignment="1">
      <alignment horizontal="center"/>
    </xf>
    <xf numFmtId="168" fontId="10" fillId="4" borderId="0" xfId="1" applyNumberFormat="1" applyFont="1" applyFill="1" applyBorder="1" applyAlignment="1">
      <alignment horizontal="center" vertical="center"/>
    </xf>
    <xf numFmtId="168" fontId="10" fillId="4" borderId="0" xfId="1" applyNumberFormat="1" applyFont="1" applyFill="1" applyBorder="1" applyAlignment="1">
      <alignment horizontal="center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  <xf numFmtId="0" fontId="11" fillId="4" borderId="0" xfId="0" quotePrefix="1" applyFont="1" applyFill="1" applyAlignment="1">
      <alignment horizontal="center" vertical="center"/>
    </xf>
    <xf numFmtId="10" fontId="11" fillId="4" borderId="0" xfId="0" applyNumberFormat="1" applyFont="1" applyFill="1" applyAlignment="1">
      <alignment horizontal="center" vertical="center"/>
    </xf>
    <xf numFmtId="43" fontId="11" fillId="4" borderId="0" xfId="1" applyFont="1" applyFill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4" fontId="4" fillId="0" borderId="0" xfId="1" applyNumberFormat="1" applyFont="1"/>
    <xf numFmtId="0" fontId="3" fillId="6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3"/>
    </xf>
    <xf numFmtId="0" fontId="3" fillId="0" borderId="1" xfId="4" applyFont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8">
    <cellStyle name="Comma" xfId="1" builtinId="3"/>
    <cellStyle name="Normal" xfId="0" builtinId="0"/>
    <cellStyle name="Normal 10" xfId="4" xr:uid="{AA24477A-F346-4A80-8F99-0AF577EC51CC}"/>
    <cellStyle name="Normal 2" xfId="7" xr:uid="{7FE63EFD-988A-40FF-90FB-1F1AF9D15776}"/>
    <cellStyle name="Normal 3 2" xfId="5" xr:uid="{2C6ECD55-85EA-42D0-8AB0-E308A14CAB65}"/>
    <cellStyle name="Percent" xfId="2" builtinId="5"/>
    <cellStyle name="Porcentagem 2 2" xfId="6" xr:uid="{933F86DF-331C-410D-9EED-31EB5FFAA647}"/>
    <cellStyle name="Porcentagem 3" xfId="3" xr:uid="{2AA49B8F-9DDB-4C20-A967-B3FA885D64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55033</xdr:colOff>
      <xdr:row>2</xdr:row>
      <xdr:rowOff>131445</xdr:rowOff>
    </xdr:to>
    <xdr:pic>
      <xdr:nvPicPr>
        <xdr:cNvPr id="2" name="Imagem 1" descr="Uma imagem contendo clip-art&#10;&#10;Descrição gerada automaticamente">
          <a:extLst>
            <a:ext uri="{FF2B5EF4-FFF2-40B4-BE49-F238E27FC236}">
              <a16:creationId xmlns:a16="http://schemas.microsoft.com/office/drawing/2014/main" id="{60769F2B-9F6A-4FCB-82A2-D4B59B4A557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52400"/>
          <a:ext cx="2083858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_Negocios\3_Gestao\2_CRI\CRI_S218_219_A&amp;C%20Lima\2_Estruturacao\7_Liquidacao\3_Mapa%20de%20Liquida&#231;&#227;o\20190606_CRI_S218_219_A&amp;CLima_Mapa_Liquida&#231;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ss Up"/>
      <sheetName val="Relatório Liquidação"/>
      <sheetName val="Referencias"/>
      <sheetName val="Resumo"/>
    </sheetNames>
    <sheetDataSet>
      <sheetData sheetId="0"/>
      <sheetData sheetId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B6DD3-1623-48FB-8F86-3401CA558DF8}">
  <sheetPr codeName="Planilha1">
    <pageSetUpPr fitToPage="1"/>
  </sheetPr>
  <dimension ref="A1:Y62"/>
  <sheetViews>
    <sheetView showGridLines="0" tabSelected="1" zoomScaleNormal="100" zoomScaleSheetLayoutView="90" workbookViewId="0">
      <pane ySplit="7" topLeftCell="A11" activePane="bottomLeft" state="frozen"/>
      <selection pane="bottomLeft" activeCell="C18" sqref="C18"/>
    </sheetView>
  </sheetViews>
  <sheetFormatPr defaultColWidth="9" defaultRowHeight="12" customHeight="1" x14ac:dyDescent="0.2"/>
  <cols>
    <col min="1" max="1" width="3.125" style="2" customWidth="1"/>
    <col min="2" max="2" width="17.875" style="3" customWidth="1"/>
    <col min="3" max="3" width="8.875" style="3" bestFit="1" customWidth="1"/>
    <col min="4" max="4" width="10.375" style="3" bestFit="1" customWidth="1"/>
    <col min="5" max="5" width="11.125" style="3" customWidth="1"/>
    <col min="6" max="6" width="9" style="3" customWidth="1"/>
    <col min="7" max="7" width="30.25" style="3" customWidth="1"/>
    <col min="8" max="8" width="43.25" style="3" bestFit="1" customWidth="1"/>
    <col min="9" max="9" width="14.5" style="3" customWidth="1"/>
    <col min="10" max="10" width="6.375" style="3" customWidth="1"/>
    <col min="11" max="11" width="20.125" style="3" customWidth="1"/>
    <col min="12" max="12" width="8.375" style="3" customWidth="1"/>
    <col min="13" max="13" width="10.875" style="3" customWidth="1"/>
    <col min="14" max="14" width="15.625" style="3" customWidth="1"/>
    <col min="15" max="15" width="9.25" style="4" customWidth="1"/>
    <col min="16" max="16" width="15.875" style="4" customWidth="1"/>
    <col min="17" max="17" width="9.75" style="4" bestFit="1" customWidth="1"/>
    <col min="18" max="18" width="10.75" style="4" customWidth="1"/>
    <col min="19" max="19" width="18" style="4" customWidth="1"/>
    <col min="20" max="20" width="40.25" style="3" customWidth="1"/>
    <col min="21" max="21" width="0.875" style="5" customWidth="1"/>
    <col min="22" max="22" width="15.375" style="3" customWidth="1"/>
    <col min="23" max="23" width="12.625" style="3" bestFit="1" customWidth="1"/>
    <col min="24" max="24" width="11" style="3" hidden="1" customWidth="1"/>
    <col min="25" max="25" width="9.75" style="3" bestFit="1" customWidth="1"/>
    <col min="26" max="26" width="9" style="3" customWidth="1"/>
    <col min="27" max="27" width="10.25" style="3" customWidth="1"/>
    <col min="28" max="16384" width="9" style="3"/>
  </cols>
  <sheetData>
    <row r="1" spans="1:25" ht="12" customHeight="1" x14ac:dyDescent="0.2">
      <c r="O1" s="3"/>
      <c r="P1" s="3"/>
      <c r="W1" s="6">
        <v>-4.1836756281554699E-11</v>
      </c>
    </row>
    <row r="2" spans="1:25" ht="28.5" customHeight="1" x14ac:dyDescent="0.2">
      <c r="D2" s="180" t="s">
        <v>68</v>
      </c>
      <c r="E2" s="180"/>
      <c r="F2" s="180"/>
      <c r="G2" s="180"/>
      <c r="I2" s="7"/>
      <c r="N2" s="4"/>
      <c r="O2" s="8"/>
      <c r="P2" s="3"/>
      <c r="Q2" s="9"/>
      <c r="R2" s="9"/>
      <c r="S2" s="9"/>
    </row>
    <row r="3" spans="1:25" s="11" customFormat="1" ht="12" customHeight="1" thickBot="1" x14ac:dyDescent="0.25">
      <c r="A3" s="10"/>
      <c r="D3" s="180"/>
      <c r="E3" s="180"/>
      <c r="F3" s="180"/>
      <c r="G3" s="180"/>
      <c r="H3" s="9"/>
      <c r="I3" s="12"/>
      <c r="K3" s="3"/>
      <c r="L3" s="13"/>
      <c r="N3" s="3"/>
      <c r="O3" s="3"/>
      <c r="P3" s="3"/>
      <c r="U3" s="14"/>
    </row>
    <row r="4" spans="1:25" s="11" customFormat="1" ht="12" customHeight="1" x14ac:dyDescent="0.2">
      <c r="A4" s="10"/>
      <c r="D4" s="15"/>
      <c r="E4" s="15"/>
      <c r="F4" s="15"/>
      <c r="G4" s="15"/>
      <c r="H4" s="9"/>
      <c r="I4" s="12"/>
      <c r="K4" s="3"/>
      <c r="L4" s="13"/>
      <c r="N4" s="3"/>
      <c r="O4" s="3"/>
      <c r="P4" s="3"/>
      <c r="R4" s="142"/>
      <c r="T4" s="16" t="s">
        <v>63</v>
      </c>
      <c r="U4" s="14"/>
    </row>
    <row r="5" spans="1:25" s="11" customFormat="1" ht="12" customHeight="1" x14ac:dyDescent="0.2">
      <c r="A5" s="10"/>
      <c r="D5" s="17"/>
      <c r="E5" s="17"/>
      <c r="G5" s="18"/>
      <c r="H5" s="19"/>
      <c r="I5" s="20"/>
      <c r="J5" s="20"/>
      <c r="K5" s="21"/>
      <c r="N5" s="9"/>
      <c r="O5" s="9"/>
      <c r="P5" s="9"/>
      <c r="Q5" s="9"/>
      <c r="R5" s="22"/>
      <c r="S5" s="23"/>
      <c r="U5" s="14"/>
    </row>
    <row r="6" spans="1:25" s="11" customFormat="1" ht="15.75" customHeight="1" x14ac:dyDescent="0.2">
      <c r="A6" s="10"/>
      <c r="B6" s="181" t="s">
        <v>0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24"/>
      <c r="U6" s="14"/>
    </row>
    <row r="7" spans="1:25" s="11" customFormat="1" ht="39" customHeight="1" x14ac:dyDescent="0.2">
      <c r="A7" s="10"/>
      <c r="B7" s="25" t="s">
        <v>1</v>
      </c>
      <c r="C7" s="25" t="s">
        <v>2</v>
      </c>
      <c r="D7" s="25" t="s">
        <v>3</v>
      </c>
      <c r="E7" s="25" t="s">
        <v>4</v>
      </c>
      <c r="F7" s="25" t="s">
        <v>5</v>
      </c>
      <c r="G7" s="26" t="s">
        <v>6</v>
      </c>
      <c r="H7" s="26" t="s">
        <v>7</v>
      </c>
      <c r="I7" s="25" t="s">
        <v>8</v>
      </c>
      <c r="J7" s="25" t="s">
        <v>9</v>
      </c>
      <c r="K7" s="25" t="s">
        <v>10</v>
      </c>
      <c r="L7" s="25" t="s">
        <v>11</v>
      </c>
      <c r="M7" s="25" t="s">
        <v>12</v>
      </c>
      <c r="N7" s="25" t="s">
        <v>13</v>
      </c>
      <c r="O7" s="25" t="s">
        <v>14</v>
      </c>
      <c r="P7" s="25" t="s">
        <v>15</v>
      </c>
      <c r="Q7" s="25" t="s">
        <v>16</v>
      </c>
      <c r="R7" s="25" t="s">
        <v>17</v>
      </c>
      <c r="S7" s="27" t="s">
        <v>18</v>
      </c>
      <c r="T7" s="25" t="s">
        <v>19</v>
      </c>
      <c r="U7" s="14"/>
    </row>
    <row r="8" spans="1:25" s="42" customFormat="1" ht="12" customHeight="1" x14ac:dyDescent="0.2">
      <c r="A8" s="28"/>
      <c r="B8" s="29" t="s">
        <v>20</v>
      </c>
      <c r="C8" s="30">
        <v>361</v>
      </c>
      <c r="D8" s="31">
        <f ca="1">TODAY()</f>
        <v>44411</v>
      </c>
      <c r="E8" s="32">
        <v>1000</v>
      </c>
      <c r="F8" s="33">
        <v>22000</v>
      </c>
      <c r="G8" s="34" t="s">
        <v>20</v>
      </c>
      <c r="H8" s="35"/>
      <c r="I8" s="35"/>
      <c r="J8" s="36"/>
      <c r="K8" s="36"/>
      <c r="L8" s="37"/>
      <c r="M8" s="36"/>
      <c r="N8" s="29"/>
      <c r="O8" s="38"/>
      <c r="P8" s="29"/>
      <c r="Q8" s="38"/>
      <c r="R8" s="1"/>
      <c r="S8" s="39">
        <f t="shared" ref="S8" si="0">E8*F8</f>
        <v>22000000</v>
      </c>
      <c r="T8" s="29"/>
      <c r="U8" s="40"/>
      <c r="V8" s="41"/>
    </row>
    <row r="9" spans="1:25" s="42" customFormat="1" ht="12" customHeight="1" x14ac:dyDescent="0.2">
      <c r="A9" s="28"/>
      <c r="B9" s="29" t="s">
        <v>20</v>
      </c>
      <c r="C9" s="36" t="s">
        <v>21</v>
      </c>
      <c r="D9" s="31"/>
      <c r="E9" s="32"/>
      <c r="F9" s="33"/>
      <c r="G9" s="35" t="s">
        <v>22</v>
      </c>
      <c r="H9" s="35"/>
      <c r="I9" s="35"/>
      <c r="J9" s="36"/>
      <c r="K9" s="36"/>
      <c r="L9" s="37"/>
      <c r="M9" s="36"/>
      <c r="N9" s="29"/>
      <c r="O9" s="38"/>
      <c r="P9" s="38"/>
      <c r="Q9" s="38"/>
      <c r="R9" s="1"/>
      <c r="S9" s="43">
        <f>SUM(S8:S8)</f>
        <v>22000000</v>
      </c>
      <c r="T9" s="29"/>
      <c r="U9" s="40"/>
      <c r="V9" s="41"/>
    </row>
    <row r="10" spans="1:25" s="11" customFormat="1" ht="12" customHeight="1" x14ac:dyDescent="0.2">
      <c r="A10" s="44"/>
      <c r="B10" s="45" t="s">
        <v>23</v>
      </c>
      <c r="C10" s="46"/>
      <c r="D10" s="47"/>
      <c r="E10" s="46"/>
      <c r="F10" s="46"/>
      <c r="G10" s="46" t="s">
        <v>24</v>
      </c>
      <c r="H10" s="46" t="s">
        <v>25</v>
      </c>
      <c r="I10" s="46" t="s">
        <v>26</v>
      </c>
      <c r="J10" s="48">
        <v>341</v>
      </c>
      <c r="K10" s="48" t="s">
        <v>27</v>
      </c>
      <c r="L10" s="49" t="s">
        <v>28</v>
      </c>
      <c r="M10" s="48" t="s">
        <v>29</v>
      </c>
      <c r="N10" s="45">
        <v>444250</v>
      </c>
      <c r="O10" s="50">
        <v>0.1115</v>
      </c>
      <c r="P10" s="45">
        <f t="shared" ref="P10:P17" si="1">N10/(1-O10)</f>
        <v>500000</v>
      </c>
      <c r="Q10" s="50">
        <v>6.1499999999999999E-2</v>
      </c>
      <c r="R10" s="51">
        <f>Q10*P10</f>
        <v>30750</v>
      </c>
      <c r="S10" s="45">
        <f>P10*(1-Q10)</f>
        <v>469250</v>
      </c>
      <c r="T10" s="52" t="s">
        <v>74</v>
      </c>
      <c r="U10" s="40"/>
      <c r="V10" s="23"/>
    </row>
    <row r="11" spans="1:25" s="11" customFormat="1" ht="11.25" customHeight="1" x14ac:dyDescent="0.2">
      <c r="A11" s="44"/>
      <c r="B11" s="59" t="s">
        <v>64</v>
      </c>
      <c r="C11" s="60"/>
      <c r="D11" s="61"/>
      <c r="E11" s="62"/>
      <c r="F11" s="62"/>
      <c r="G11" s="60" t="s">
        <v>30</v>
      </c>
      <c r="H11" s="60" t="s">
        <v>71</v>
      </c>
      <c r="I11" s="60" t="s">
        <v>72</v>
      </c>
      <c r="J11" s="64" t="s">
        <v>69</v>
      </c>
      <c r="K11" s="63" t="s">
        <v>70</v>
      </c>
      <c r="L11" s="64">
        <v>3100</v>
      </c>
      <c r="M11" s="63" t="s">
        <v>73</v>
      </c>
      <c r="N11" s="59">
        <v>60000</v>
      </c>
      <c r="O11" s="65">
        <v>0</v>
      </c>
      <c r="P11" s="59">
        <f t="shared" si="1"/>
        <v>60000</v>
      </c>
      <c r="Q11" s="65">
        <v>6.1499999999999999E-2</v>
      </c>
      <c r="R11" s="66">
        <f t="shared" ref="R11:R22" si="2">+Q11*P11</f>
        <v>3690</v>
      </c>
      <c r="S11" s="59">
        <f>P11*(1-Q11)</f>
        <v>56310</v>
      </c>
      <c r="T11" s="59"/>
      <c r="U11" s="40"/>
      <c r="V11" s="23"/>
    </row>
    <row r="12" spans="1:25" s="11" customFormat="1" ht="12" customHeight="1" x14ac:dyDescent="0.2">
      <c r="A12" s="44"/>
      <c r="B12" s="67" t="s">
        <v>64</v>
      </c>
      <c r="C12" s="68"/>
      <c r="D12" s="69"/>
      <c r="E12" s="70"/>
      <c r="F12" s="70"/>
      <c r="G12" s="68" t="s">
        <v>31</v>
      </c>
      <c r="H12" s="68" t="s">
        <v>32</v>
      </c>
      <c r="I12" s="68" t="s">
        <v>33</v>
      </c>
      <c r="J12" s="71">
        <v>237</v>
      </c>
      <c r="K12" s="71" t="s">
        <v>80</v>
      </c>
      <c r="L12" s="72" t="s">
        <v>81</v>
      </c>
      <c r="M12" s="71" t="s">
        <v>82</v>
      </c>
      <c r="N12" s="67">
        <v>17875</v>
      </c>
      <c r="O12" s="73">
        <v>9.6500000000000002E-2</v>
      </c>
      <c r="P12" s="67">
        <f t="shared" si="1"/>
        <v>19784.172661870503</v>
      </c>
      <c r="Q12" s="73">
        <v>0</v>
      </c>
      <c r="R12" s="74">
        <f t="shared" si="2"/>
        <v>0</v>
      </c>
      <c r="S12" s="67">
        <f>P12*(1-Q12)</f>
        <v>19784.172661870503</v>
      </c>
      <c r="T12" s="67"/>
      <c r="U12" s="14"/>
      <c r="V12" s="75"/>
    </row>
    <row r="13" spans="1:25" s="11" customFormat="1" ht="12" customHeight="1" x14ac:dyDescent="0.2">
      <c r="A13" s="44"/>
      <c r="B13" s="67" t="s">
        <v>64</v>
      </c>
      <c r="C13" s="68"/>
      <c r="D13" s="69"/>
      <c r="E13" s="70"/>
      <c r="F13" s="70"/>
      <c r="G13" s="68" t="s">
        <v>66</v>
      </c>
      <c r="H13" s="68" t="s">
        <v>34</v>
      </c>
      <c r="I13" s="68" t="s">
        <v>35</v>
      </c>
      <c r="J13" s="71">
        <v>341</v>
      </c>
      <c r="K13" s="71" t="s">
        <v>27</v>
      </c>
      <c r="L13" s="72">
        <v>6630</v>
      </c>
      <c r="M13" s="71" t="s">
        <v>36</v>
      </c>
      <c r="N13" s="67">
        <f>1500*60</f>
        <v>90000</v>
      </c>
      <c r="O13" s="73">
        <v>0.1115</v>
      </c>
      <c r="P13" s="67">
        <f t="shared" si="1"/>
        <v>101294.31626336522</v>
      </c>
      <c r="Q13" s="73">
        <v>6.1499999999999999E-2</v>
      </c>
      <c r="R13" s="74">
        <f>Q13*P13</f>
        <v>6229.600450196961</v>
      </c>
      <c r="S13" s="67">
        <f t="shared" ref="S13" si="3">P13*(1-Q13)</f>
        <v>95064.715813168266</v>
      </c>
      <c r="T13" s="67"/>
      <c r="U13" s="14"/>
      <c r="V13" s="75"/>
    </row>
    <row r="14" spans="1:25" s="11" customFormat="1" ht="12" customHeight="1" x14ac:dyDescent="0.2">
      <c r="A14" s="44"/>
      <c r="B14" s="67" t="s">
        <v>64</v>
      </c>
      <c r="C14" s="68"/>
      <c r="D14" s="69"/>
      <c r="E14" s="70"/>
      <c r="F14" s="70"/>
      <c r="G14" s="68" t="s">
        <v>67</v>
      </c>
      <c r="H14" s="68" t="s">
        <v>34</v>
      </c>
      <c r="I14" s="68" t="s">
        <v>35</v>
      </c>
      <c r="J14" s="71">
        <v>341</v>
      </c>
      <c r="K14" s="71" t="s">
        <v>27</v>
      </c>
      <c r="L14" s="72">
        <v>6630</v>
      </c>
      <c r="M14" s="71" t="s">
        <v>36</v>
      </c>
      <c r="N14" s="67">
        <f>1500*21</f>
        <v>31500</v>
      </c>
      <c r="O14" s="73">
        <v>0.1115</v>
      </c>
      <c r="P14" s="67">
        <f t="shared" si="1"/>
        <v>35453.010692177828</v>
      </c>
      <c r="Q14" s="73">
        <v>6.1499999999999999E-2</v>
      </c>
      <c r="R14" s="74">
        <f>Q14*P14</f>
        <v>2180.3601575689363</v>
      </c>
      <c r="S14" s="67">
        <f t="shared" ref="S14:S17" si="4">P14*(1-Q14)</f>
        <v>33272.650534608889</v>
      </c>
      <c r="T14" s="67"/>
      <c r="U14" s="14"/>
      <c r="V14" s="75"/>
    </row>
    <row r="15" spans="1:25" s="11" customFormat="1" ht="12" customHeight="1" x14ac:dyDescent="0.2">
      <c r="A15" s="44"/>
      <c r="B15" s="67" t="s">
        <v>23</v>
      </c>
      <c r="C15" s="68"/>
      <c r="D15" s="69"/>
      <c r="E15" s="70"/>
      <c r="F15" s="70"/>
      <c r="G15" s="68" t="s">
        <v>37</v>
      </c>
      <c r="H15" s="68" t="s">
        <v>38</v>
      </c>
      <c r="I15" s="68" t="s">
        <v>39</v>
      </c>
      <c r="J15" s="71">
        <v>341</v>
      </c>
      <c r="K15" s="71" t="s">
        <v>27</v>
      </c>
      <c r="L15" s="72" t="s">
        <v>61</v>
      </c>
      <c r="M15" s="71" t="s">
        <v>62</v>
      </c>
      <c r="N15" s="67">
        <v>16000</v>
      </c>
      <c r="O15" s="73">
        <v>0.1633</v>
      </c>
      <c r="P15" s="67">
        <f t="shared" si="1"/>
        <v>19122.744113780329</v>
      </c>
      <c r="Q15" s="73">
        <v>1.4999999999999999E-2</v>
      </c>
      <c r="R15" s="74">
        <f t="shared" si="2"/>
        <v>286.8411617067049</v>
      </c>
      <c r="S15" s="67">
        <f t="shared" si="4"/>
        <v>18835.902952073622</v>
      </c>
      <c r="T15" s="67"/>
      <c r="U15" s="14"/>
      <c r="V15" s="23"/>
      <c r="X15" s="14"/>
      <c r="Y15" s="23"/>
    </row>
    <row r="16" spans="1:25" s="11" customFormat="1" ht="12" customHeight="1" x14ac:dyDescent="0.2">
      <c r="A16" s="44"/>
      <c r="B16" s="67" t="s">
        <v>23</v>
      </c>
      <c r="C16" s="68"/>
      <c r="D16" s="69"/>
      <c r="E16" s="70"/>
      <c r="F16" s="70"/>
      <c r="G16" s="68" t="s">
        <v>40</v>
      </c>
      <c r="H16" s="68" t="s">
        <v>38</v>
      </c>
      <c r="I16" s="68" t="s">
        <v>39</v>
      </c>
      <c r="J16" s="71">
        <v>341</v>
      </c>
      <c r="K16" s="71" t="s">
        <v>27</v>
      </c>
      <c r="L16" s="72" t="s">
        <v>61</v>
      </c>
      <c r="M16" s="71" t="s">
        <v>62</v>
      </c>
      <c r="N16" s="67">
        <v>4000</v>
      </c>
      <c r="O16" s="73">
        <v>0.1633</v>
      </c>
      <c r="P16" s="67">
        <f t="shared" si="1"/>
        <v>4780.6860284450822</v>
      </c>
      <c r="Q16" s="73">
        <v>1.4999999999999999E-2</v>
      </c>
      <c r="R16" s="74">
        <f t="shared" si="2"/>
        <v>71.710290426676224</v>
      </c>
      <c r="S16" s="67">
        <f t="shared" si="4"/>
        <v>4708.9757380184055</v>
      </c>
      <c r="T16" s="67"/>
      <c r="U16" s="14"/>
      <c r="V16" s="23"/>
    </row>
    <row r="17" spans="1:24" s="11" customFormat="1" ht="12" customHeight="1" x14ac:dyDescent="0.2">
      <c r="A17" s="44"/>
      <c r="B17" s="67" t="s">
        <v>23</v>
      </c>
      <c r="C17" s="68"/>
      <c r="D17" s="69"/>
      <c r="E17" s="70"/>
      <c r="F17" s="70"/>
      <c r="G17" s="68" t="s">
        <v>41</v>
      </c>
      <c r="H17" s="68" t="s">
        <v>38</v>
      </c>
      <c r="I17" s="68" t="s">
        <v>39</v>
      </c>
      <c r="J17" s="71">
        <v>341</v>
      </c>
      <c r="K17" s="71" t="s">
        <v>27</v>
      </c>
      <c r="L17" s="72" t="s">
        <v>61</v>
      </c>
      <c r="M17" s="71" t="s">
        <v>62</v>
      </c>
      <c r="N17" s="67">
        <v>34296.870000000003</v>
      </c>
      <c r="O17" s="73">
        <v>0.1633</v>
      </c>
      <c r="P17" s="67">
        <f t="shared" si="1"/>
        <v>40990.641807099324</v>
      </c>
      <c r="Q17" s="73">
        <v>1.4999999999999999E-2</v>
      </c>
      <c r="R17" s="74">
        <f t="shared" si="2"/>
        <v>614.85962710648982</v>
      </c>
      <c r="S17" s="67">
        <f t="shared" si="4"/>
        <v>40375.782179992835</v>
      </c>
      <c r="T17" s="76"/>
      <c r="U17" s="14"/>
    </row>
    <row r="18" spans="1:24" s="11" customFormat="1" ht="12" customHeight="1" x14ac:dyDescent="0.2">
      <c r="A18" s="44"/>
      <c r="B18" s="77" t="s">
        <v>42</v>
      </c>
      <c r="C18" s="78"/>
      <c r="D18" s="79"/>
      <c r="E18" s="78"/>
      <c r="F18" s="78"/>
      <c r="G18" s="80" t="s">
        <v>43</v>
      </c>
      <c r="H18" s="80" t="s">
        <v>44</v>
      </c>
      <c r="I18" s="80" t="s">
        <v>45</v>
      </c>
      <c r="J18" s="182"/>
      <c r="K18" s="182"/>
      <c r="L18" s="182"/>
      <c r="M18" s="182"/>
      <c r="N18" s="81"/>
      <c r="O18" s="82"/>
      <c r="P18" s="81"/>
      <c r="Q18" s="82"/>
      <c r="R18" s="83">
        <f t="shared" si="2"/>
        <v>0</v>
      </c>
      <c r="S18" s="81">
        <v>9939</v>
      </c>
      <c r="T18" s="81"/>
      <c r="U18" s="14"/>
    </row>
    <row r="19" spans="1:24" s="11" customFormat="1" ht="12" customHeight="1" x14ac:dyDescent="0.2">
      <c r="A19" s="44"/>
      <c r="B19" s="84" t="s">
        <v>42</v>
      </c>
      <c r="C19" s="85"/>
      <c r="D19" s="86"/>
      <c r="E19" s="85"/>
      <c r="F19" s="85"/>
      <c r="G19" s="87" t="s">
        <v>46</v>
      </c>
      <c r="H19" s="87" t="s">
        <v>44</v>
      </c>
      <c r="I19" s="87" t="s">
        <v>45</v>
      </c>
      <c r="J19" s="179"/>
      <c r="K19" s="179"/>
      <c r="L19" s="179"/>
      <c r="M19" s="179"/>
      <c r="N19" s="88"/>
      <c r="O19" s="89"/>
      <c r="P19" s="88"/>
      <c r="Q19" s="89"/>
      <c r="R19" s="90">
        <f t="shared" si="2"/>
        <v>0</v>
      </c>
      <c r="S19" s="88">
        <v>1282</v>
      </c>
      <c r="T19" s="88"/>
      <c r="U19" s="14"/>
    </row>
    <row r="20" spans="1:24" s="11" customFormat="1" ht="12" customHeight="1" x14ac:dyDescent="0.2">
      <c r="A20" s="44"/>
      <c r="B20" s="84" t="s">
        <v>42</v>
      </c>
      <c r="C20" s="85"/>
      <c r="D20" s="86"/>
      <c r="E20" s="85"/>
      <c r="F20" s="85"/>
      <c r="G20" s="87" t="s">
        <v>47</v>
      </c>
      <c r="H20" s="87" t="s">
        <v>44</v>
      </c>
      <c r="I20" s="87" t="s">
        <v>45</v>
      </c>
      <c r="J20" s="179"/>
      <c r="K20" s="179"/>
      <c r="L20" s="179"/>
      <c r="M20" s="179"/>
      <c r="N20" s="88"/>
      <c r="O20" s="89"/>
      <c r="P20" s="88"/>
      <c r="Q20" s="89"/>
      <c r="R20" s="90">
        <f t="shared" si="2"/>
        <v>0</v>
      </c>
      <c r="S20" s="88">
        <v>44311</v>
      </c>
      <c r="T20" s="88"/>
      <c r="U20" s="14"/>
    </row>
    <row r="21" spans="1:24" s="11" customFormat="1" ht="12" customHeight="1" x14ac:dyDescent="0.2">
      <c r="A21" s="44"/>
      <c r="B21" s="84" t="s">
        <v>42</v>
      </c>
      <c r="C21" s="85"/>
      <c r="D21" s="86"/>
      <c r="E21" s="85"/>
      <c r="F21" s="85"/>
      <c r="G21" s="87" t="s">
        <v>48</v>
      </c>
      <c r="H21" s="87" t="s">
        <v>44</v>
      </c>
      <c r="I21" s="87" t="s">
        <v>45</v>
      </c>
      <c r="J21" s="179"/>
      <c r="K21" s="179"/>
      <c r="L21" s="179"/>
      <c r="M21" s="179"/>
      <c r="N21" s="88"/>
      <c r="O21" s="89"/>
      <c r="P21" s="88"/>
      <c r="Q21" s="89"/>
      <c r="R21" s="90">
        <f t="shared" ref="R21" si="5">+Q21*P21</f>
        <v>0</v>
      </c>
      <c r="S21" s="88">
        <v>2238</v>
      </c>
      <c r="T21" s="88"/>
      <c r="U21" s="14"/>
    </row>
    <row r="22" spans="1:24" s="11" customFormat="1" ht="12" customHeight="1" x14ac:dyDescent="0.2">
      <c r="A22" s="44"/>
      <c r="B22" s="84" t="s">
        <v>42</v>
      </c>
      <c r="C22" s="85"/>
      <c r="D22" s="86"/>
      <c r="E22" s="85"/>
      <c r="F22" s="85"/>
      <c r="G22" s="87" t="s">
        <v>65</v>
      </c>
      <c r="H22" s="87" t="s">
        <v>44</v>
      </c>
      <c r="I22" s="87" t="s">
        <v>45</v>
      </c>
      <c r="J22" s="179"/>
      <c r="K22" s="179"/>
      <c r="L22" s="179"/>
      <c r="M22" s="179"/>
      <c r="N22" s="88"/>
      <c r="O22" s="89"/>
      <c r="P22" s="88"/>
      <c r="Q22" s="89"/>
      <c r="R22" s="90">
        <f t="shared" si="2"/>
        <v>0</v>
      </c>
      <c r="S22" s="88">
        <v>15230.68</v>
      </c>
      <c r="T22" s="88"/>
      <c r="U22" s="14"/>
    </row>
    <row r="23" spans="1:24" s="14" customFormat="1" ht="12" customHeight="1" x14ac:dyDescent="0.2">
      <c r="A23" s="91"/>
      <c r="B23" s="92"/>
      <c r="C23" s="93"/>
      <c r="D23" s="94"/>
      <c r="E23" s="93"/>
      <c r="F23" s="93"/>
      <c r="G23" s="95" t="s">
        <v>49</v>
      </c>
      <c r="H23" s="95"/>
      <c r="I23" s="95"/>
      <c r="J23" s="185"/>
      <c r="K23" s="185"/>
      <c r="L23" s="185"/>
      <c r="M23" s="185"/>
      <c r="N23" s="96"/>
      <c r="O23" s="97"/>
      <c r="P23" s="96"/>
      <c r="Q23" s="97"/>
      <c r="R23" s="98"/>
      <c r="S23" s="96">
        <f>SUM(S24:S28)</f>
        <v>43823.371687005769</v>
      </c>
      <c r="T23" s="96"/>
      <c r="U23" s="40"/>
    </row>
    <row r="24" spans="1:24" s="11" customFormat="1" ht="12" customHeight="1" x14ac:dyDescent="0.2">
      <c r="A24" s="10"/>
      <c r="B24" s="55" t="s">
        <v>50</v>
      </c>
      <c r="C24" s="54"/>
      <c r="D24" s="99"/>
      <c r="E24" s="54"/>
      <c r="F24" s="54"/>
      <c r="G24" s="100" t="s">
        <v>51</v>
      </c>
      <c r="H24" s="54" t="s">
        <v>25</v>
      </c>
      <c r="I24" s="54" t="s">
        <v>26</v>
      </c>
      <c r="J24" s="186"/>
      <c r="K24" s="186"/>
      <c r="L24" s="186"/>
      <c r="M24" s="186"/>
      <c r="N24" s="53"/>
      <c r="O24" s="57"/>
      <c r="P24" s="101"/>
      <c r="Q24" s="57"/>
      <c r="R24" s="58"/>
      <c r="S24" s="53">
        <f>SUMIF($I$10:$I$22,I24,$R$10:$R$22)</f>
        <v>30750</v>
      </c>
      <c r="T24" s="53"/>
      <c r="U24" s="40"/>
    </row>
    <row r="25" spans="1:24" s="14" customFormat="1" ht="12" customHeight="1" x14ac:dyDescent="0.2">
      <c r="A25" s="91"/>
      <c r="B25" s="102" t="s">
        <v>50</v>
      </c>
      <c r="C25" s="94"/>
      <c r="D25" s="103"/>
      <c r="E25" s="94"/>
      <c r="F25" s="94"/>
      <c r="G25" s="104" t="s">
        <v>76</v>
      </c>
      <c r="H25" s="94" t="s">
        <v>71</v>
      </c>
      <c r="I25" s="94" t="s">
        <v>72</v>
      </c>
      <c r="J25" s="105"/>
      <c r="K25" s="105"/>
      <c r="L25" s="105"/>
      <c r="M25" s="105"/>
      <c r="N25" s="92"/>
      <c r="O25" s="106"/>
      <c r="P25" s="107"/>
      <c r="Q25" s="106"/>
      <c r="R25" s="108"/>
      <c r="S25" s="92">
        <f>SUMIF($I$10:$I$22,I25,$R$10:$R$22)</f>
        <v>3690</v>
      </c>
      <c r="T25" s="92"/>
      <c r="U25" s="40"/>
    </row>
    <row r="26" spans="1:24" s="11" customFormat="1" ht="12" customHeight="1" x14ac:dyDescent="0.2">
      <c r="A26" s="10"/>
      <c r="B26" s="55" t="s">
        <v>50</v>
      </c>
      <c r="C26" s="54"/>
      <c r="D26" s="99"/>
      <c r="E26" s="54"/>
      <c r="F26" s="54"/>
      <c r="G26" s="100" t="s">
        <v>52</v>
      </c>
      <c r="H26" s="54" t="s">
        <v>32</v>
      </c>
      <c r="I26" s="54" t="s">
        <v>33</v>
      </c>
      <c r="J26" s="187"/>
      <c r="K26" s="187"/>
      <c r="L26" s="187"/>
      <c r="M26" s="187"/>
      <c r="N26" s="53"/>
      <c r="O26" s="57"/>
      <c r="P26" s="53"/>
      <c r="Q26" s="57"/>
      <c r="R26" s="58"/>
      <c r="S26" s="53">
        <f>SUMIF($I$10:$I$22,I26,$R$10:$R$22)</f>
        <v>0</v>
      </c>
      <c r="T26" s="53"/>
      <c r="U26" s="14"/>
    </row>
    <row r="27" spans="1:24" s="14" customFormat="1" ht="12" customHeight="1" x14ac:dyDescent="0.2">
      <c r="A27" s="91"/>
      <c r="B27" s="102" t="s">
        <v>50</v>
      </c>
      <c r="C27" s="94"/>
      <c r="D27" s="103"/>
      <c r="E27" s="94"/>
      <c r="F27" s="94"/>
      <c r="G27" s="104" t="s">
        <v>53</v>
      </c>
      <c r="H27" s="94" t="s">
        <v>34</v>
      </c>
      <c r="I27" s="94" t="s">
        <v>35</v>
      </c>
      <c r="J27" s="188"/>
      <c r="K27" s="188"/>
      <c r="L27" s="188"/>
      <c r="M27" s="188"/>
      <c r="N27" s="92"/>
      <c r="O27" s="106"/>
      <c r="P27" s="107"/>
      <c r="Q27" s="106"/>
      <c r="R27" s="108"/>
      <c r="S27" s="92">
        <f>SUMIF($I$10:$I$22,I27,$R$10:$R$23)</f>
        <v>8409.9606077658973</v>
      </c>
      <c r="T27" s="92"/>
      <c r="U27" s="40"/>
    </row>
    <row r="28" spans="1:24" s="11" customFormat="1" ht="12" customHeight="1" x14ac:dyDescent="0.2">
      <c r="A28" s="10"/>
      <c r="B28" s="55" t="s">
        <v>50</v>
      </c>
      <c r="C28" s="54"/>
      <c r="D28" s="99"/>
      <c r="E28" s="54"/>
      <c r="F28" s="54"/>
      <c r="G28" s="100" t="s">
        <v>54</v>
      </c>
      <c r="H28" s="54" t="s">
        <v>38</v>
      </c>
      <c r="I28" s="54" t="s">
        <v>39</v>
      </c>
      <c r="J28" s="187"/>
      <c r="K28" s="187"/>
      <c r="L28" s="187"/>
      <c r="M28" s="187"/>
      <c r="N28" s="53"/>
      <c r="O28" s="57"/>
      <c r="P28" s="53"/>
      <c r="Q28" s="57"/>
      <c r="R28" s="58"/>
      <c r="S28" s="53">
        <f>SUMIF($I$10:$I$22,I28,$R$10:$R$22)</f>
        <v>973.41107923987101</v>
      </c>
      <c r="T28" s="53"/>
      <c r="U28" s="40"/>
      <c r="X28" s="109" t="s">
        <v>20</v>
      </c>
    </row>
    <row r="29" spans="1:24" s="14" customFormat="1" ht="12" customHeight="1" x14ac:dyDescent="0.2">
      <c r="A29" s="91"/>
      <c r="B29" s="102" t="s">
        <v>55</v>
      </c>
      <c r="C29" s="94"/>
      <c r="D29" s="103"/>
      <c r="E29" s="94"/>
      <c r="F29" s="94"/>
      <c r="G29" s="94" t="s">
        <v>56</v>
      </c>
      <c r="H29" s="94" t="s">
        <v>44</v>
      </c>
      <c r="I29" s="94" t="s">
        <v>45</v>
      </c>
      <c r="J29" s="102">
        <v>341</v>
      </c>
      <c r="K29" s="102" t="s">
        <v>27</v>
      </c>
      <c r="L29" s="141" t="s">
        <v>57</v>
      </c>
      <c r="M29" s="102" t="s">
        <v>58</v>
      </c>
      <c r="N29" s="92"/>
      <c r="O29" s="106"/>
      <c r="P29" s="92"/>
      <c r="Q29" s="106"/>
      <c r="R29" s="108"/>
      <c r="S29" s="92">
        <v>19319.23</v>
      </c>
      <c r="T29" s="92"/>
      <c r="X29" s="110" t="s">
        <v>23</v>
      </c>
    </row>
    <row r="30" spans="1:24" s="14" customFormat="1" ht="12" customHeight="1" x14ac:dyDescent="0.2">
      <c r="A30" s="91"/>
      <c r="B30" s="55" t="s">
        <v>23</v>
      </c>
      <c r="C30" s="54"/>
      <c r="D30" s="99"/>
      <c r="E30" s="54"/>
      <c r="F30" s="54"/>
      <c r="G30" s="54" t="s">
        <v>59</v>
      </c>
      <c r="H30" s="54" t="s">
        <v>44</v>
      </c>
      <c r="I30" s="54" t="s">
        <v>45</v>
      </c>
      <c r="J30" s="55">
        <v>237</v>
      </c>
      <c r="K30" s="55" t="s">
        <v>85</v>
      </c>
      <c r="L30" s="56">
        <v>3391</v>
      </c>
      <c r="M30" s="55" t="s">
        <v>79</v>
      </c>
      <c r="N30" s="53"/>
      <c r="O30" s="57"/>
      <c r="P30" s="53"/>
      <c r="Q30" s="57"/>
      <c r="R30" s="58"/>
      <c r="S30" s="53">
        <v>636304.87</v>
      </c>
      <c r="T30" s="53"/>
      <c r="X30" s="110"/>
    </row>
    <row r="31" spans="1:24" s="14" customFormat="1" ht="12" customHeight="1" x14ac:dyDescent="0.2">
      <c r="A31" s="91"/>
      <c r="B31" s="102" t="s">
        <v>23</v>
      </c>
      <c r="C31" s="94"/>
      <c r="D31" s="103"/>
      <c r="E31" s="94"/>
      <c r="F31" s="94"/>
      <c r="G31" s="94" t="s">
        <v>75</v>
      </c>
      <c r="H31" s="94" t="s">
        <v>83</v>
      </c>
      <c r="I31" s="94" t="s">
        <v>84</v>
      </c>
      <c r="J31" s="102" t="s">
        <v>69</v>
      </c>
      <c r="K31" s="102" t="s">
        <v>70</v>
      </c>
      <c r="L31" s="141" t="s">
        <v>77</v>
      </c>
      <c r="M31" s="102" t="s">
        <v>78</v>
      </c>
      <c r="N31" s="92"/>
      <c r="O31" s="106"/>
      <c r="P31" s="92"/>
      <c r="Q31" s="106"/>
      <c r="R31" s="108"/>
      <c r="S31" s="92">
        <f>-1*SUM(-S9,S10:S23,S29:S30)</f>
        <v>20489949.648433261</v>
      </c>
      <c r="T31" s="92"/>
      <c r="X31" s="110"/>
    </row>
    <row r="32" spans="1:24" s="121" customFormat="1" ht="12" customHeight="1" x14ac:dyDescent="0.2">
      <c r="A32" s="111"/>
      <c r="B32" s="112" t="s">
        <v>21</v>
      </c>
      <c r="C32" s="113"/>
      <c r="D32" s="114"/>
      <c r="E32" s="113"/>
      <c r="F32" s="113"/>
      <c r="G32" s="115"/>
      <c r="H32" s="115"/>
      <c r="I32" s="115"/>
      <c r="J32" s="114"/>
      <c r="K32" s="114"/>
      <c r="L32" s="116"/>
      <c r="M32" s="116"/>
      <c r="N32" s="114"/>
      <c r="O32" s="114"/>
      <c r="P32" s="114"/>
      <c r="Q32" s="114"/>
      <c r="R32" s="58"/>
      <c r="S32" s="117">
        <f>-SUM(-S9,S10:S23,S29:S31)</f>
        <v>0</v>
      </c>
      <c r="T32" s="53"/>
      <c r="U32" s="118"/>
      <c r="V32" s="119"/>
      <c r="W32" s="120"/>
      <c r="X32" s="28" t="s">
        <v>55</v>
      </c>
    </row>
    <row r="33" spans="1:24" ht="12" customHeight="1" x14ac:dyDescent="0.2">
      <c r="B33" s="122"/>
      <c r="C33" s="122"/>
      <c r="D33" s="122"/>
      <c r="E33" s="122"/>
      <c r="F33" s="122"/>
      <c r="G33" s="122"/>
      <c r="H33" s="122"/>
      <c r="I33" s="123"/>
      <c r="J33" s="123"/>
      <c r="K33" s="124"/>
      <c r="L33" s="123"/>
      <c r="M33" s="125"/>
      <c r="N33" s="125"/>
      <c r="O33" s="126"/>
      <c r="P33" s="127"/>
      <c r="Q33" s="126"/>
      <c r="R33" s="126"/>
      <c r="S33" s="126"/>
      <c r="T33" s="126"/>
    </row>
    <row r="34" spans="1:24" s="42" customFormat="1" ht="12" customHeight="1" x14ac:dyDescent="0.2">
      <c r="A34" s="28"/>
      <c r="B34" s="143" t="s">
        <v>20</v>
      </c>
      <c r="C34" s="144">
        <v>361</v>
      </c>
      <c r="D34" s="145">
        <v>43900</v>
      </c>
      <c r="E34" s="146">
        <v>1000.90512505</v>
      </c>
      <c r="F34" s="147">
        <v>28000</v>
      </c>
      <c r="G34" s="148" t="s">
        <v>20</v>
      </c>
      <c r="H34" s="149"/>
      <c r="I34" s="149"/>
      <c r="J34" s="150"/>
      <c r="K34" s="150"/>
      <c r="L34" s="151"/>
      <c r="M34" s="150"/>
      <c r="N34" s="143"/>
      <c r="O34" s="152"/>
      <c r="P34" s="143"/>
      <c r="Q34" s="152"/>
      <c r="R34" s="153"/>
      <c r="S34" s="154">
        <f t="shared" ref="S34" si="6">E34*F34</f>
        <v>28025343.501400001</v>
      </c>
      <c r="T34" s="143"/>
      <c r="U34" s="23"/>
      <c r="V34" s="41"/>
    </row>
    <row r="35" spans="1:24" s="42" customFormat="1" ht="12" customHeight="1" x14ac:dyDescent="0.2">
      <c r="A35" s="28"/>
      <c r="B35" s="143" t="s">
        <v>20</v>
      </c>
      <c r="C35" s="150" t="s">
        <v>21</v>
      </c>
      <c r="D35" s="145"/>
      <c r="E35" s="146"/>
      <c r="F35" s="147"/>
      <c r="G35" s="149" t="s">
        <v>22</v>
      </c>
      <c r="H35" s="149"/>
      <c r="I35" s="149"/>
      <c r="J35" s="150"/>
      <c r="K35" s="150"/>
      <c r="L35" s="151"/>
      <c r="M35" s="150"/>
      <c r="N35" s="143"/>
      <c r="O35" s="152"/>
      <c r="P35" s="143"/>
      <c r="Q35" s="152"/>
      <c r="R35" s="153"/>
      <c r="S35" s="155">
        <f>SUM(S34:S34)</f>
        <v>28025343.501400001</v>
      </c>
      <c r="T35" s="143"/>
      <c r="U35" s="23"/>
      <c r="V35" s="41"/>
    </row>
    <row r="36" spans="1:24" s="11" customFormat="1" ht="12" customHeight="1" x14ac:dyDescent="0.15">
      <c r="A36" s="44"/>
      <c r="B36" s="156" t="s">
        <v>23</v>
      </c>
      <c r="C36" s="157"/>
      <c r="D36" s="158"/>
      <c r="E36" s="157"/>
      <c r="F36" s="157"/>
      <c r="G36" s="157" t="s">
        <v>86</v>
      </c>
      <c r="H36" s="157" t="s">
        <v>93</v>
      </c>
      <c r="I36" s="157" t="s">
        <v>88</v>
      </c>
      <c r="J36" s="159">
        <v>33</v>
      </c>
      <c r="K36" s="159" t="s">
        <v>90</v>
      </c>
      <c r="L36" s="160">
        <v>3409</v>
      </c>
      <c r="M36" s="157" t="s">
        <v>91</v>
      </c>
      <c r="N36" s="156">
        <v>786500</v>
      </c>
      <c r="O36" s="161">
        <v>0</v>
      </c>
      <c r="P36" s="156">
        <v>786500</v>
      </c>
      <c r="Q36" s="161">
        <v>6.1499999999999999E-2</v>
      </c>
      <c r="R36" s="51">
        <f>Q36*P36</f>
        <v>48369.75</v>
      </c>
      <c r="S36" s="156">
        <f>P36*(1-Q36)</f>
        <v>738130.25</v>
      </c>
      <c r="T36" s="163"/>
      <c r="U36" s="23"/>
      <c r="V36" s="23"/>
    </row>
    <row r="37" spans="1:24" s="11" customFormat="1" ht="12" customHeight="1" x14ac:dyDescent="0.15">
      <c r="A37" s="44"/>
      <c r="B37" s="164" t="s">
        <v>23</v>
      </c>
      <c r="C37" s="165"/>
      <c r="D37" s="145"/>
      <c r="E37" s="165"/>
      <c r="F37" s="165"/>
      <c r="G37" s="165" t="s">
        <v>86</v>
      </c>
      <c r="H37" s="165" t="s">
        <v>87</v>
      </c>
      <c r="I37" s="165" t="s">
        <v>89</v>
      </c>
      <c r="J37" s="166">
        <v>341</v>
      </c>
      <c r="K37" s="166" t="s">
        <v>27</v>
      </c>
      <c r="L37" s="167">
        <v>9019</v>
      </c>
      <c r="M37" s="165" t="s">
        <v>92</v>
      </c>
      <c r="N37" s="164">
        <v>786500</v>
      </c>
      <c r="O37" s="168">
        <v>0</v>
      </c>
      <c r="P37" s="164">
        <v>786500</v>
      </c>
      <c r="Q37" s="168">
        <v>6.1499999999999999E-2</v>
      </c>
      <c r="R37" s="169">
        <f>Q37*P37</f>
        <v>48369.75</v>
      </c>
      <c r="S37" s="164">
        <f>P37*(1-Q37)</f>
        <v>738130.25</v>
      </c>
      <c r="T37" s="169"/>
      <c r="U37" s="23"/>
      <c r="V37" s="23"/>
    </row>
    <row r="38" spans="1:24" s="11" customFormat="1" ht="12" customHeight="1" x14ac:dyDescent="0.15">
      <c r="A38" s="44"/>
      <c r="B38" s="156" t="s">
        <v>23</v>
      </c>
      <c r="C38" s="157"/>
      <c r="D38" s="158"/>
      <c r="E38" s="157"/>
      <c r="F38" s="157"/>
      <c r="G38" s="157" t="s">
        <v>94</v>
      </c>
      <c r="H38" s="157" t="s">
        <v>83</v>
      </c>
      <c r="I38" s="157" t="s">
        <v>84</v>
      </c>
      <c r="J38" s="159" t="s">
        <v>69</v>
      </c>
      <c r="K38" s="159" t="s">
        <v>70</v>
      </c>
      <c r="L38" s="160" t="s">
        <v>77</v>
      </c>
      <c r="M38" s="157" t="s">
        <v>78</v>
      </c>
      <c r="N38" s="156"/>
      <c r="O38" s="161"/>
      <c r="P38" s="156"/>
      <c r="Q38" s="161"/>
      <c r="R38" s="51"/>
      <c r="S38" s="156">
        <v>48369.75</v>
      </c>
      <c r="T38" s="163"/>
      <c r="U38" s="23"/>
      <c r="V38" s="23"/>
    </row>
    <row r="39" spans="1:24" s="11" customFormat="1" ht="12" customHeight="1" x14ac:dyDescent="0.15">
      <c r="A39" s="44"/>
      <c r="B39" s="156" t="s">
        <v>23</v>
      </c>
      <c r="C39" s="157"/>
      <c r="D39" s="158"/>
      <c r="E39" s="157"/>
      <c r="F39" s="157"/>
      <c r="G39" s="157" t="s">
        <v>95</v>
      </c>
      <c r="H39" s="157" t="s">
        <v>83</v>
      </c>
      <c r="I39" s="157" t="s">
        <v>84</v>
      </c>
      <c r="J39" s="159" t="s">
        <v>69</v>
      </c>
      <c r="K39" s="159" t="s">
        <v>70</v>
      </c>
      <c r="L39" s="160" t="s">
        <v>77</v>
      </c>
      <c r="M39" s="157" t="s">
        <v>78</v>
      </c>
      <c r="N39" s="156"/>
      <c r="O39" s="161"/>
      <c r="P39" s="156"/>
      <c r="Q39" s="161"/>
      <c r="R39" s="51"/>
      <c r="S39" s="156">
        <v>48369.75</v>
      </c>
      <c r="T39" s="163"/>
      <c r="U39" s="23"/>
      <c r="V39" s="23"/>
    </row>
    <row r="40" spans="1:24" s="11" customFormat="1" ht="12" customHeight="1" x14ac:dyDescent="0.15">
      <c r="A40" s="44"/>
      <c r="B40" s="164" t="s">
        <v>23</v>
      </c>
      <c r="C40" s="165"/>
      <c r="D40" s="145"/>
      <c r="E40" s="165"/>
      <c r="F40" s="165"/>
      <c r="G40" s="165" t="s">
        <v>56</v>
      </c>
      <c r="H40" s="165" t="s">
        <v>44</v>
      </c>
      <c r="I40" s="165" t="s">
        <v>45</v>
      </c>
      <c r="J40" s="166">
        <v>341</v>
      </c>
      <c r="K40" s="166" t="s">
        <v>27</v>
      </c>
      <c r="L40" s="167" t="s">
        <v>57</v>
      </c>
      <c r="M40" s="166" t="s">
        <v>58</v>
      </c>
      <c r="N40" s="164"/>
      <c r="O40" s="168"/>
      <c r="P40" s="164"/>
      <c r="Q40" s="168"/>
      <c r="R40" s="169"/>
      <c r="S40" s="164">
        <v>0</v>
      </c>
      <c r="T40" s="169"/>
      <c r="U40" s="23"/>
      <c r="V40" s="23"/>
    </row>
    <row r="41" spans="1:24" s="11" customFormat="1" ht="12" customHeight="1" x14ac:dyDescent="0.15">
      <c r="A41" s="44"/>
      <c r="B41" s="156" t="s">
        <v>23</v>
      </c>
      <c r="C41" s="157"/>
      <c r="D41" s="158"/>
      <c r="E41" s="157"/>
      <c r="F41" s="157"/>
      <c r="G41" s="157" t="s">
        <v>59</v>
      </c>
      <c r="H41" s="157" t="s">
        <v>44</v>
      </c>
      <c r="I41" s="157" t="s">
        <v>45</v>
      </c>
      <c r="J41" s="159">
        <v>237</v>
      </c>
      <c r="K41" s="159" t="s">
        <v>85</v>
      </c>
      <c r="L41" s="160">
        <v>3391</v>
      </c>
      <c r="M41" s="159" t="s">
        <v>79</v>
      </c>
      <c r="N41" s="156"/>
      <c r="O41" s="161"/>
      <c r="P41" s="156"/>
      <c r="Q41" s="161"/>
      <c r="R41" s="162"/>
      <c r="S41" s="156">
        <v>760898.4</v>
      </c>
      <c r="T41" s="163"/>
      <c r="U41" s="23"/>
      <c r="V41" s="23"/>
    </row>
    <row r="42" spans="1:24" s="11" customFormat="1" ht="12" customHeight="1" x14ac:dyDescent="0.15">
      <c r="A42" s="44"/>
      <c r="B42" s="164" t="s">
        <v>23</v>
      </c>
      <c r="C42" s="165"/>
      <c r="D42" s="145"/>
      <c r="E42" s="165"/>
      <c r="F42" s="165"/>
      <c r="G42" s="165" t="s">
        <v>75</v>
      </c>
      <c r="H42" s="165" t="s">
        <v>83</v>
      </c>
      <c r="I42" s="165" t="s">
        <v>84</v>
      </c>
      <c r="J42" s="166" t="s">
        <v>69</v>
      </c>
      <c r="K42" s="166" t="s">
        <v>70</v>
      </c>
      <c r="L42" s="167" t="s">
        <v>77</v>
      </c>
      <c r="M42" s="166" t="s">
        <v>78</v>
      </c>
      <c r="N42" s="164"/>
      <c r="O42" s="168"/>
      <c r="P42" s="164"/>
      <c r="Q42" s="168"/>
      <c r="R42" s="169"/>
      <c r="S42" s="164">
        <f>S35-SUM(S36:S41)</f>
        <v>25691445.101400003</v>
      </c>
      <c r="T42" s="169"/>
      <c r="U42" s="23"/>
      <c r="V42" s="23"/>
    </row>
    <row r="43" spans="1:24" s="121" customFormat="1" ht="12" customHeight="1" x14ac:dyDescent="0.15">
      <c r="A43" s="44"/>
      <c r="B43" s="171" t="s">
        <v>21</v>
      </c>
      <c r="C43" s="172"/>
      <c r="D43" s="158"/>
      <c r="E43" s="172"/>
      <c r="F43" s="172"/>
      <c r="G43" s="172"/>
      <c r="H43" s="172"/>
      <c r="I43" s="172"/>
      <c r="J43" s="173"/>
      <c r="K43" s="173"/>
      <c r="L43" s="174"/>
      <c r="M43" s="173"/>
      <c r="N43" s="171"/>
      <c r="O43" s="175"/>
      <c r="P43" s="171"/>
      <c r="Q43" s="175"/>
      <c r="R43" s="176"/>
      <c r="S43" s="171">
        <f>SUM(S36:S42)-S35</f>
        <v>0</v>
      </c>
      <c r="T43" s="177"/>
      <c r="U43" s="170"/>
      <c r="V43" s="170"/>
      <c r="X43" s="121" t="s">
        <v>55</v>
      </c>
    </row>
    <row r="44" spans="1:24" ht="12" customHeight="1" x14ac:dyDescent="0.2">
      <c r="B44" s="122"/>
      <c r="C44" s="122"/>
      <c r="D44" s="122"/>
      <c r="E44" s="122"/>
      <c r="F44" s="122"/>
      <c r="G44" s="122"/>
      <c r="H44" s="122"/>
      <c r="I44" s="123"/>
      <c r="J44" s="123"/>
      <c r="K44" s="124"/>
      <c r="L44" s="123"/>
      <c r="M44" s="125"/>
      <c r="N44" s="125"/>
      <c r="O44" s="126"/>
      <c r="P44" s="127"/>
      <c r="Q44" s="126"/>
      <c r="R44" s="126"/>
      <c r="S44" s="126"/>
      <c r="T44" s="126"/>
    </row>
    <row r="45" spans="1:24" s="42" customFormat="1" ht="12" customHeight="1" x14ac:dyDescent="0.2">
      <c r="A45" s="28"/>
      <c r="B45" s="143" t="s">
        <v>20</v>
      </c>
      <c r="C45" s="144">
        <v>361</v>
      </c>
      <c r="D45" s="145">
        <v>43921</v>
      </c>
      <c r="E45" s="146">
        <v>1007.82185509</v>
      </c>
      <c r="F45" s="147">
        <v>5000</v>
      </c>
      <c r="G45" s="148" t="s">
        <v>20</v>
      </c>
      <c r="H45" s="149"/>
      <c r="I45" s="149"/>
      <c r="J45" s="150"/>
      <c r="K45" s="150"/>
      <c r="L45" s="151"/>
      <c r="M45" s="150"/>
      <c r="N45" s="143"/>
      <c r="O45" s="152"/>
      <c r="P45" s="143"/>
      <c r="Q45" s="152"/>
      <c r="R45" s="153"/>
      <c r="S45" s="154">
        <f>E45*F45</f>
        <v>5039109.2754499996</v>
      </c>
      <c r="T45" s="143"/>
      <c r="U45" s="23"/>
      <c r="V45" s="41"/>
    </row>
    <row r="46" spans="1:24" s="42" customFormat="1" ht="12" customHeight="1" x14ac:dyDescent="0.2">
      <c r="A46" s="28"/>
      <c r="B46" s="143" t="s">
        <v>20</v>
      </c>
      <c r="C46" s="150" t="s">
        <v>21</v>
      </c>
      <c r="D46" s="145"/>
      <c r="E46" s="146"/>
      <c r="F46" s="147"/>
      <c r="G46" s="149" t="s">
        <v>22</v>
      </c>
      <c r="H46" s="149"/>
      <c r="I46" s="149"/>
      <c r="J46" s="150"/>
      <c r="K46" s="150"/>
      <c r="L46" s="151"/>
      <c r="M46" s="150"/>
      <c r="N46" s="143"/>
      <c r="O46" s="152"/>
      <c r="P46" s="143"/>
      <c r="Q46" s="152"/>
      <c r="R46" s="153"/>
      <c r="S46" s="155">
        <f>SUM(S45:S45)</f>
        <v>5039109.2754499996</v>
      </c>
      <c r="T46" s="143"/>
      <c r="U46" s="23"/>
      <c r="V46" s="41"/>
    </row>
    <row r="47" spans="1:24" s="11" customFormat="1" ht="12" customHeight="1" x14ac:dyDescent="0.15">
      <c r="A47" s="44"/>
      <c r="B47" s="156" t="s">
        <v>23</v>
      </c>
      <c r="C47" s="157"/>
      <c r="D47" s="158"/>
      <c r="E47" s="157"/>
      <c r="F47" s="157"/>
      <c r="G47" s="157" t="s">
        <v>59</v>
      </c>
      <c r="H47" s="157" t="s">
        <v>44</v>
      </c>
      <c r="I47" s="157" t="s">
        <v>45</v>
      </c>
      <c r="J47" s="159">
        <v>237</v>
      </c>
      <c r="K47" s="159" t="s">
        <v>85</v>
      </c>
      <c r="L47" s="160">
        <v>3391</v>
      </c>
      <c r="M47" s="157" t="s">
        <v>79</v>
      </c>
      <c r="N47" s="156"/>
      <c r="O47" s="161"/>
      <c r="P47" s="156"/>
      <c r="Q47" s="161"/>
      <c r="R47" s="162"/>
      <c r="S47" s="156">
        <v>140301.67000000001</v>
      </c>
      <c r="T47" s="163"/>
      <c r="U47" s="23"/>
      <c r="V47" s="23"/>
    </row>
    <row r="48" spans="1:24" s="11" customFormat="1" ht="12" customHeight="1" x14ac:dyDescent="0.15">
      <c r="A48" s="44"/>
      <c r="B48" s="164" t="s">
        <v>23</v>
      </c>
      <c r="C48" s="165"/>
      <c r="D48" s="145"/>
      <c r="E48" s="165"/>
      <c r="F48" s="165"/>
      <c r="G48" s="165" t="s">
        <v>75</v>
      </c>
      <c r="H48" s="165" t="s">
        <v>83</v>
      </c>
      <c r="I48" s="165" t="s">
        <v>84</v>
      </c>
      <c r="J48" s="166" t="s">
        <v>69</v>
      </c>
      <c r="K48" s="166" t="s">
        <v>70</v>
      </c>
      <c r="L48" s="167" t="s">
        <v>77</v>
      </c>
      <c r="M48" s="165" t="s">
        <v>78</v>
      </c>
      <c r="N48" s="164"/>
      <c r="O48" s="168"/>
      <c r="P48" s="164"/>
      <c r="Q48" s="168"/>
      <c r="R48" s="169"/>
      <c r="S48" s="164">
        <f>S46-SUM(S47:S47)</f>
        <v>4898807.6054499997</v>
      </c>
      <c r="T48" s="169"/>
      <c r="U48" s="23"/>
      <c r="V48" s="23"/>
    </row>
    <row r="49" spans="1:24" s="121" customFormat="1" ht="12" customHeight="1" x14ac:dyDescent="0.15">
      <c r="A49" s="44"/>
      <c r="B49" s="171" t="s">
        <v>21</v>
      </c>
      <c r="C49" s="172"/>
      <c r="D49" s="158"/>
      <c r="E49" s="172"/>
      <c r="F49" s="172"/>
      <c r="G49" s="172"/>
      <c r="H49" s="172"/>
      <c r="I49" s="172"/>
      <c r="J49" s="173"/>
      <c r="K49" s="173"/>
      <c r="L49" s="174"/>
      <c r="M49" s="173"/>
      <c r="N49" s="171"/>
      <c r="O49" s="175"/>
      <c r="P49" s="171"/>
      <c r="Q49" s="175"/>
      <c r="R49" s="176"/>
      <c r="S49" s="171">
        <f>SUM(S47:S48)-S46</f>
        <v>0</v>
      </c>
      <c r="T49" s="177"/>
      <c r="U49" s="170"/>
      <c r="V49" s="170"/>
      <c r="X49" s="121" t="s">
        <v>55</v>
      </c>
    </row>
    <row r="50" spans="1:24" s="14" customFormat="1" ht="12" customHeight="1" x14ac:dyDescent="0.2">
      <c r="A50" s="128"/>
      <c r="B50" s="129"/>
      <c r="C50" s="130"/>
      <c r="D50" s="131"/>
      <c r="E50" s="130"/>
      <c r="F50" s="130"/>
      <c r="G50" s="132"/>
      <c r="H50" s="132"/>
      <c r="I50" s="132"/>
      <c r="J50" s="131"/>
      <c r="K50" s="131"/>
      <c r="L50" s="133"/>
      <c r="M50" s="133"/>
      <c r="N50" s="131"/>
      <c r="O50" s="131"/>
      <c r="P50" s="131"/>
      <c r="Q50" s="131"/>
      <c r="R50" s="108"/>
      <c r="S50" s="96"/>
      <c r="T50" s="92"/>
    </row>
    <row r="51" spans="1:24" s="14" customFormat="1" ht="12" customHeight="1" x14ac:dyDescent="0.2">
      <c r="A51" s="128"/>
      <c r="B51" s="95"/>
      <c r="C51" s="95"/>
      <c r="D51" s="95"/>
      <c r="E51" s="95"/>
      <c r="F51" s="95"/>
      <c r="G51" s="95"/>
      <c r="H51" s="95"/>
      <c r="I51" s="134"/>
      <c r="J51" s="134"/>
      <c r="K51" s="135"/>
      <c r="L51" s="134"/>
      <c r="M51" s="136"/>
      <c r="N51" s="136"/>
      <c r="O51" s="137"/>
      <c r="P51" s="138"/>
      <c r="Q51" s="137"/>
      <c r="R51" s="137"/>
      <c r="S51" s="137"/>
      <c r="T51" s="137"/>
    </row>
    <row r="52" spans="1:24" s="14" customFormat="1" ht="12" customHeight="1" x14ac:dyDescent="0.2">
      <c r="A52" s="128"/>
      <c r="B52" s="95"/>
      <c r="C52" s="95"/>
      <c r="D52" s="95"/>
      <c r="E52" s="95"/>
      <c r="F52" s="95"/>
      <c r="G52" s="95"/>
      <c r="H52" s="95"/>
      <c r="I52" s="134"/>
      <c r="J52" s="134"/>
      <c r="K52" s="135"/>
      <c r="L52" s="134"/>
      <c r="M52" s="136"/>
      <c r="N52" s="136"/>
      <c r="O52" s="137"/>
      <c r="P52" s="138"/>
      <c r="Q52" s="137"/>
      <c r="R52" s="137"/>
      <c r="S52" s="137"/>
      <c r="T52" s="137"/>
    </row>
    <row r="53" spans="1:24" s="11" customFormat="1" thickBot="1" x14ac:dyDescent="0.25">
      <c r="A53" s="10"/>
      <c r="G53" s="3"/>
      <c r="H53" s="3"/>
      <c r="I53" s="3"/>
      <c r="J53" s="3"/>
      <c r="K53" s="3"/>
      <c r="L53" s="3"/>
      <c r="M53" s="3"/>
      <c r="N53" s="3"/>
      <c r="O53" s="4"/>
      <c r="P53" s="4"/>
      <c r="Q53" s="4"/>
      <c r="R53" s="4"/>
      <c r="T53" s="119"/>
      <c r="U53" s="14"/>
    </row>
    <row r="54" spans="1:24" ht="12" customHeight="1" x14ac:dyDescent="0.2">
      <c r="A54" s="3"/>
      <c r="H54" s="183" t="s">
        <v>60</v>
      </c>
      <c r="I54" s="183"/>
      <c r="J54" s="183"/>
      <c r="K54" s="183"/>
      <c r="L54" s="183"/>
      <c r="M54" s="183"/>
      <c r="N54" s="183"/>
      <c r="T54" s="139"/>
      <c r="U54" s="3"/>
    </row>
    <row r="55" spans="1:24" ht="12" customHeight="1" x14ac:dyDescent="0.2">
      <c r="A55" s="3"/>
      <c r="G55" s="140"/>
      <c r="H55" s="184"/>
      <c r="I55" s="184"/>
      <c r="J55" s="184"/>
      <c r="K55" s="184"/>
      <c r="L55" s="184"/>
      <c r="M55" s="184"/>
      <c r="N55" s="184"/>
      <c r="T55" s="139"/>
      <c r="U55" s="3"/>
    </row>
    <row r="56" spans="1:24" ht="12" customHeight="1" x14ac:dyDescent="0.2">
      <c r="A56" s="3"/>
      <c r="G56" s="140"/>
      <c r="T56" s="139"/>
      <c r="U56" s="3"/>
    </row>
    <row r="57" spans="1:24" ht="12" customHeight="1" x14ac:dyDescent="0.2">
      <c r="A57" s="3"/>
      <c r="T57" s="139"/>
      <c r="U57" s="3"/>
    </row>
    <row r="62" spans="1:24" ht="12" customHeight="1" x14ac:dyDescent="0.2">
      <c r="Q62" s="161"/>
      <c r="R62" s="45"/>
      <c r="S62" s="178"/>
    </row>
  </sheetData>
  <mergeCells count="13">
    <mergeCell ref="J22:M22"/>
    <mergeCell ref="H54:N55"/>
    <mergeCell ref="J23:M23"/>
    <mergeCell ref="J24:M24"/>
    <mergeCell ref="J26:M26"/>
    <mergeCell ref="J27:M27"/>
    <mergeCell ref="J28:M28"/>
    <mergeCell ref="J21:M21"/>
    <mergeCell ref="D2:G3"/>
    <mergeCell ref="B6:S6"/>
    <mergeCell ref="J18:M18"/>
    <mergeCell ref="J19:M19"/>
    <mergeCell ref="J20:M20"/>
  </mergeCells>
  <dataValidations count="2">
    <dataValidation type="list" allowBlank="1" showInputMessage="1" showErrorMessage="1" sqref="B24:B31 B11:B22" xr:uid="{50D20395-45F6-45AA-AF37-AE39EABAE60D}">
      <formula1>$X$28:$X$32</formula1>
    </dataValidation>
    <dataValidation type="list" allowBlank="1" showInputMessage="1" showErrorMessage="1" sqref="B36:B42 B47:B48" xr:uid="{DA68220B-7688-4F29-8FC2-FFE8E3D0EE35}">
      <formula1>$X$30:$X$35</formula1>
    </dataValidation>
  </dataValidations>
  <printOptions horizontalCentered="1" verticalCentered="1"/>
  <pageMargins left="0.11811023622047245" right="0.11811023622047245" top="0.39370078740157483" bottom="0.39370078740157483" header="0" footer="0"/>
  <pageSetup paperSize="9" scale="39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89DB16-DDA8-4FB6-A203-97FB3B774D83}">
          <x14:formula1>
            <xm:f>'Z:\1_Negocios\3_Gestao\2_CRI\CRI_S218_219_A&amp;C Lima\2_Estruturacao\7_Liquidacao\3_Mapa de Liquidação\[20190606_CRI_S218_219_A&amp;CLima_Mapa_Liquidação.xlsx]Referencias'!#REF!</xm:f>
          </x14:formula1>
          <xm:sqref>B32 B23 X28:X32 B8:B10 X37 B34:B35 X40:X43 B43 B45:B46 X47:X49 B49:B50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2565C418707D4AA9D5B20100C39FAD" ma:contentTypeVersion="13" ma:contentTypeDescription="Crie um novo documento." ma:contentTypeScope="" ma:versionID="57b720f961935729ee5bfb3f7b3b745e">
  <xsd:schema xmlns:xsd="http://www.w3.org/2001/XMLSchema" xmlns:xs="http://www.w3.org/2001/XMLSchema" xmlns:p="http://schemas.microsoft.com/office/2006/metadata/properties" xmlns:ns2="90be1033-61d5-46ad-ae3a-53f0d5f2e6d6" xmlns:ns3="bb6cd9ea-a165-46c7-8046-7d231703d635" targetNamespace="http://schemas.microsoft.com/office/2006/metadata/properties" ma:root="true" ma:fieldsID="3e4c59b9b2339eeb247f9c7769569ba7" ns2:_="" ns3:_="">
    <xsd:import namespace="90be1033-61d5-46ad-ae3a-53f0d5f2e6d6"/>
    <xsd:import namespace="bb6cd9ea-a165-46c7-8046-7d231703d63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e1033-61d5-46ad-ae3a-53f0d5f2e6d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9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cd9ea-a165-46c7-8046-7d231703d6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0be1033-61d5-46ad-ae3a-53f0d5f2e6d6">XYRVYRS7NR3H-414051584-592954</_dlc_DocId>
    <_dlc_DocIdUrl xmlns="90be1033-61d5-46ad-ae3a-53f0d5f2e6d6">
      <Url>https://contatofortesec.sharepoint.com/sites/Gestao/_layouts/15/DocIdRedir.aspx?ID=XYRVYRS7NR3H-414051584-592954</Url>
      <Description>XYRVYRS7NR3H-414051584-592954</Description>
    </_dlc_DocIdUrl>
  </documentManagement>
</p:properties>
</file>

<file path=customXml/itemProps1.xml><?xml version="1.0" encoding="utf-8"?>
<ds:datastoreItem xmlns:ds="http://schemas.openxmlformats.org/officeDocument/2006/customXml" ds:itemID="{BBD80397-1264-4198-BFCE-335DD094761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58C55D1-0B15-428A-90EF-817A3B0D74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249B46-3DBE-425E-BB4A-800468E855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be1033-61d5-46ad-ae3a-53f0d5f2e6d6"/>
    <ds:schemaRef ds:uri="bb6cd9ea-a165-46c7-8046-7d231703d6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714D109-CA53-49BB-B35D-7A99C8B02C93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sharepoint/v3"/>
    <ds:schemaRef ds:uri="90be1033-61d5-46ad-ae3a-53f0d5f2e6d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Relatório Liquidação</vt:lpstr>
      <vt:lpstr>'Relatório Liquidação'!Print_Area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Dantas</dc:creator>
  <cp:lastModifiedBy>Nina Hansen</cp:lastModifiedBy>
  <cp:lastPrinted>2019-08-08T14:55:28Z</cp:lastPrinted>
  <dcterms:created xsi:type="dcterms:W3CDTF">2019-07-17T12:29:36Z</dcterms:created>
  <dcterms:modified xsi:type="dcterms:W3CDTF">2021-08-03T14:23:42Z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0x010100252565C418707D4AA9D5B20100C39FAD</vt:lpwstr>
  </property>
  <property fmtid="{D5CDD505-2E9C-101B-9397-08002B2CF9AE}" pid="3" name="Order">
    <vt:r8>4778800</vt:r8>
  </property>
  <property fmtid="{D5CDD505-2E9C-101B-9397-08002B2CF9AE}" pid="4" name="_dlc_DocIdItemGuid">
    <vt:lpwstr>b2fac5bb-c418-4dc6-bc49-77428ca7248a</vt:lpwstr>
  </property>
</Properties>
</file>