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ontatofortesec.sharepoint.com/sites/Gestao/Documentos/CRI/CRI_S377_382_Belle Ville/2_Estruturacao/7_Liquidacao/3_Mapa_de_Liquidacao/"/>
    </mc:Choice>
  </mc:AlternateContent>
  <xr:revisionPtr revIDLastSave="176" documentId="13_ncr:1_{D8BB95B7-F27E-41F9-A01C-4ED664A4C70E}" xr6:coauthVersionLast="47" xr6:coauthVersionMax="47" xr10:uidLastSave="{DFE55F4F-4F88-48D8-84F9-6E6C7C00E61D}"/>
  <bookViews>
    <workbookView xWindow="28680" yWindow="-120" windowWidth="29040" windowHeight="15840" xr2:uid="{8B8E34DC-30F8-4853-A0F9-2DF1B67D42F3}"/>
  </bookViews>
  <sheets>
    <sheet name="Relatório Liquidação" sheetId="1" r:id="rId1"/>
  </sheets>
  <externalReferences>
    <externalReference r:id="rId2"/>
  </externalReferences>
  <definedNames>
    <definedName name="_xlnm._FilterDatabase" localSheetId="0" hidden="1">'Relatório Liquidação'!$B$7:$T$56</definedName>
    <definedName name="Feriados" localSheetId="0">#REF!</definedName>
    <definedName name="Feriados">#REF!</definedName>
    <definedName name="_xlnm.Print_Area" localSheetId="0">'Relatório Liquidação'!$B$2:$U$56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9" i="1" l="1"/>
  <c r="S70" i="1"/>
  <c r="S69" i="1"/>
  <c r="N51" i="1"/>
  <c r="P51" i="1" s="1"/>
  <c r="R51" i="1" s="1"/>
  <c r="S48" i="1"/>
  <c r="N50" i="1" s="1"/>
  <c r="P50" i="1" s="1"/>
  <c r="R50" i="1" s="1"/>
  <c r="S71" i="1" l="1"/>
  <c r="N73" i="1" s="1"/>
  <c r="P73" i="1" s="1"/>
  <c r="S50" i="1"/>
  <c r="S51" i="1"/>
  <c r="S59" i="1"/>
  <c r="S58" i="1"/>
  <c r="N72" i="1" l="1"/>
  <c r="P72" i="1" s="1"/>
  <c r="S72" i="1" s="1"/>
  <c r="S73" i="1"/>
  <c r="R73" i="1"/>
  <c r="S60" i="1"/>
  <c r="S55" i="1"/>
  <c r="N62" i="1" l="1"/>
  <c r="P62" i="1" s="1"/>
  <c r="S62" i="1" s="1"/>
  <c r="N61" i="1"/>
  <c r="P61" i="1" s="1"/>
  <c r="S61" i="1" s="1"/>
  <c r="R72" i="1"/>
  <c r="S75" i="1" s="1"/>
  <c r="S74" i="1" s="1"/>
  <c r="S77" i="1" s="1"/>
  <c r="S78" i="1" s="1"/>
  <c r="R62" i="1"/>
  <c r="R61" i="1" l="1"/>
  <c r="S64" i="1" s="1"/>
  <c r="S63" i="1" s="1"/>
  <c r="S66" i="1" s="1"/>
  <c r="S67" i="1" s="1"/>
  <c r="S38" i="1"/>
  <c r="S39" i="1" s="1"/>
  <c r="N41" i="1" l="1"/>
  <c r="P41" i="1" s="1"/>
  <c r="S41" i="1" s="1"/>
  <c r="N40" i="1"/>
  <c r="P40" i="1" s="1"/>
  <c r="P16" i="1"/>
  <c r="P15" i="1"/>
  <c r="R41" i="1" l="1"/>
  <c r="R40" i="1"/>
  <c r="S40" i="1"/>
  <c r="S15" i="1"/>
  <c r="R15" i="1"/>
  <c r="S43" i="1" l="1"/>
  <c r="S42" i="1" s="1"/>
  <c r="S45" i="1" s="1"/>
  <c r="S46" i="1" s="1"/>
  <c r="R24" i="1" l="1"/>
  <c r="P13" i="1" l="1"/>
  <c r="P12" i="1" l="1"/>
  <c r="P19" i="1"/>
  <c r="P18" i="1"/>
  <c r="P17" i="1"/>
  <c r="R23" i="1"/>
  <c r="S19" i="1" l="1"/>
  <c r="S13" i="1" l="1"/>
  <c r="R13" i="1"/>
  <c r="S29" i="1" s="1"/>
  <c r="R25" i="1"/>
  <c r="R22" i="1"/>
  <c r="R21" i="1"/>
  <c r="R20" i="1"/>
  <c r="R18" i="1"/>
  <c r="S17" i="1"/>
  <c r="R17" i="1"/>
  <c r="S16" i="1"/>
  <c r="S8" i="1"/>
  <c r="S9" i="1" s="1"/>
  <c r="N11" i="1" l="1"/>
  <c r="N10" i="1"/>
  <c r="R12" i="1"/>
  <c r="S28" i="1" s="1"/>
  <c r="S12" i="1"/>
  <c r="S18" i="1"/>
  <c r="R16" i="1"/>
  <c r="S30" i="1" s="1"/>
  <c r="R19" i="1"/>
  <c r="S31" i="1" s="1"/>
  <c r="P11" i="1" l="1"/>
  <c r="R11" i="1" l="1"/>
  <c r="S11" i="1"/>
  <c r="P10" i="1"/>
  <c r="R10" i="1" s="1"/>
  <c r="S27" i="1" s="1"/>
  <c r="S26" i="1" s="1"/>
  <c r="S10" i="1" l="1"/>
  <c r="S35" i="1" l="1"/>
  <c r="S36" i="1" s="1"/>
</calcChain>
</file>

<file path=xl/sharedStrings.xml><?xml version="1.0" encoding="utf-8"?>
<sst xmlns="http://schemas.openxmlformats.org/spreadsheetml/2006/main" count="330" uniqueCount="88">
  <si>
    <t>Demonstrativo Liquidação</t>
  </si>
  <si>
    <t>Natureza do Pagamento</t>
  </si>
  <si>
    <t>Série</t>
  </si>
  <si>
    <t xml:space="preserve">Data </t>
  </si>
  <si>
    <t>PU
Liquidação</t>
  </si>
  <si>
    <t>Quantidade</t>
  </si>
  <si>
    <t>Lançamento</t>
  </si>
  <si>
    <t>Razão Social</t>
  </si>
  <si>
    <t>CNPJ</t>
  </si>
  <si>
    <t>Número</t>
  </si>
  <si>
    <t>Banco</t>
  </si>
  <si>
    <t>Agência</t>
  </si>
  <si>
    <t>Conta</t>
  </si>
  <si>
    <t>Valor do Serviço</t>
  </si>
  <si>
    <t>Gross-Up</t>
  </si>
  <si>
    <t>Valor Bruto NF</t>
  </si>
  <si>
    <t>Retenção NF</t>
  </si>
  <si>
    <t>Retenção</t>
  </si>
  <si>
    <t>Valor</t>
  </si>
  <si>
    <t>Observação</t>
  </si>
  <si>
    <t>Integralização</t>
  </si>
  <si>
    <t>Total Dia</t>
  </si>
  <si>
    <t>Total Integralização</t>
  </si>
  <si>
    <t>Transferência</t>
  </si>
  <si>
    <t>Fee Estruturação</t>
  </si>
  <si>
    <t>TForte Participação Ltda</t>
  </si>
  <si>
    <t>21.567.223/0001-05</t>
  </si>
  <si>
    <t>Itaú Unibanco S.A.</t>
  </si>
  <si>
    <t>0869-8</t>
  </si>
  <si>
    <t>12663-1</t>
  </si>
  <si>
    <t>Taxa de Sucesso</t>
  </si>
  <si>
    <t xml:space="preserve">Advogados - Assessoria </t>
  </si>
  <si>
    <t>Coordenador Líder</t>
  </si>
  <si>
    <t>Banco Bradesco S.A.</t>
  </si>
  <si>
    <t>CONVESTE AUDFILES SERVICOS FINANCEIROS LTDA</t>
  </si>
  <si>
    <t>29.758.816/0001-60</t>
  </si>
  <si>
    <t>43542-5</t>
  </si>
  <si>
    <t>Agente Fiduciário</t>
  </si>
  <si>
    <t>VX Partners Intermediação de Negócios Ltda.</t>
  </si>
  <si>
    <t>19.179.438/0001-07</t>
  </si>
  <si>
    <t>Agente Custodiante</t>
  </si>
  <si>
    <t>Agente Registrador CCI</t>
  </si>
  <si>
    <t xml:space="preserve">Provisão de Despesas </t>
  </si>
  <si>
    <t>Registro CCI B3 (Débito Automático)</t>
  </si>
  <si>
    <t>Forte Securitizadora S/A</t>
  </si>
  <si>
    <t>12.979.898/0001-70</t>
  </si>
  <si>
    <t>Registro CRI B3 (Débito Automático)</t>
  </si>
  <si>
    <t>Custos Mov. CRI/CCI B3 (Estimado-Deb. Aut.)</t>
  </si>
  <si>
    <t>Taxa de Registro - Anbima</t>
  </si>
  <si>
    <t>Retenção de Impostos sobre NFs</t>
  </si>
  <si>
    <t>Retenção de Impostos</t>
  </si>
  <si>
    <t>Imposto - TForte Participação Ltda</t>
  </si>
  <si>
    <t>Imposto - Coordenador Líder</t>
  </si>
  <si>
    <t>Imposto - Auditoria Financeira e Implantação</t>
  </si>
  <si>
    <t>Imposto - Agente Fiduciário</t>
  </si>
  <si>
    <t>Reembolso Forte</t>
  </si>
  <si>
    <t>Outros Custos (Reembolso)</t>
  </si>
  <si>
    <t>0869</t>
  </si>
  <si>
    <t>13447-8</t>
  </si>
  <si>
    <t>Fundo de Reserva</t>
  </si>
  <si>
    <t>0644-0</t>
  </si>
  <si>
    <t>13548-5</t>
  </si>
  <si>
    <t>Elaborado por André Dantas</t>
  </si>
  <si>
    <t>Aguardar Transferência</t>
  </si>
  <si>
    <t>Rating</t>
  </si>
  <si>
    <t>Imposto - MVA</t>
  </si>
  <si>
    <t>Pré - Análise B3</t>
  </si>
  <si>
    <t>CRI Belle Ville - Mapa de Liquidação</t>
  </si>
  <si>
    <t>Auditoria Financeira</t>
  </si>
  <si>
    <t>Implantação</t>
  </si>
  <si>
    <t>Fundo de Obra</t>
  </si>
  <si>
    <t>0393</t>
  </si>
  <si>
    <t>23985-0</t>
  </si>
  <si>
    <t>2,00% do valor integralizado, conforme Proposta assinada</t>
  </si>
  <si>
    <t>ÓRAMA DISTRIBUIDORA DE TÍTULOS E VALORES MOBILIÁRIOS</t>
  </si>
  <si>
    <t>13.293.225/0001-25</t>
  </si>
  <si>
    <t>32.093-5</t>
  </si>
  <si>
    <t>Engenharia</t>
  </si>
  <si>
    <t>Helio S. Gomes Engenharia - ME</t>
  </si>
  <si>
    <t>22.234.234/0001-36</t>
  </si>
  <si>
    <t>001</t>
  </si>
  <si>
    <t>Banco do Brasil S.A.</t>
  </si>
  <si>
    <t>825-7</t>
  </si>
  <si>
    <t>109.176-X</t>
  </si>
  <si>
    <t>Daló e Tognotti Sociedade de Advogados</t>
  </si>
  <si>
    <t>34.712.837/0001-85</t>
  </si>
  <si>
    <t>35517-5</t>
  </si>
  <si>
    <t>Retenção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</si>
</sst>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3" formatCode="_-* #,##0.00_-;\-* #,##0.00_-;_-* &quot;-&quot;??_-;_-@_-"/>
    <numFmt numFmtId="164" formatCode="&quot;R$&quot;#,##0.00;[Red]\-&quot;R$&quot;#,##0.00"/>
    <numFmt numFmtId="165" formatCode="0.0000%&quot; a.a.&quot;"/>
    <numFmt numFmtId="166" formatCode="_(#,##0_);_(\(#,##0\);_(&quot;-&quot;_);_(@_)"/>
    <numFmt numFmtId="167" formatCode="_(#,##0.00_);_(\(#,##0.00\);_(&quot;-&quot;_);_(@_)"/>
    <numFmt numFmtId="168" formatCode="#,##0.00_ ;\-#,##0.00\ 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dotted">
        <color theme="0" tint="-0.2499465926084170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69">
    <xf numFmtId="0" fontId="0" fillId="0" borderId="0" xfId="0"/>
    <xf numFmtId="43" fontId="3" fillId="4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Fill="1"/>
    <xf numFmtId="2" fontId="5" fillId="2" borderId="0" xfId="1" applyNumberFormat="1" applyFont="1" applyFill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4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0" borderId="3" xfId="7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8" fontId="4" fillId="0" borderId="0" xfId="1" applyNumberFormat="1" applyFont="1" applyAlignment="1">
      <alignment vertical="center"/>
    </xf>
    <xf numFmtId="8" fontId="4" fillId="0" borderId="0" xfId="0" applyNumberFormat="1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Continuous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8" fontId="4" fillId="2" borderId="0" xfId="0" applyNumberFormat="1" applyFont="1" applyFill="1" applyAlignment="1">
      <alignment horizontal="center" vertical="center"/>
    </xf>
    <xf numFmtId="8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/>
    </xf>
    <xf numFmtId="167" fontId="3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10" fontId="3" fillId="4" borderId="0" xfId="0" applyNumberFormat="1" applyFont="1" applyFill="1" applyBorder="1" applyAlignment="1">
      <alignment horizontal="center"/>
    </xf>
    <xf numFmtId="168" fontId="3" fillId="4" borderId="0" xfId="1" applyNumberFormat="1" applyFont="1" applyFill="1" applyBorder="1" applyAlignment="1">
      <alignment horizontal="center" vertical="center"/>
    </xf>
    <xf numFmtId="8" fontId="4" fillId="0" borderId="0" xfId="0" applyNumberFormat="1" applyFont="1" applyFill="1" applyAlignment="1">
      <alignment vertical="center"/>
    </xf>
    <xf numFmtId="8" fontId="3" fillId="0" borderId="0" xfId="0" applyNumberFormat="1" applyFont="1"/>
    <xf numFmtId="0" fontId="3" fillId="0" borderId="0" xfId="0" applyFont="1"/>
    <xf numFmtId="168" fontId="3" fillId="4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8" fontId="4" fillId="2" borderId="0" xfId="0" applyNumberFormat="1" applyFont="1" applyFill="1" applyBorder="1" applyAlignment="1">
      <alignment horizontal="center" vertical="center"/>
    </xf>
    <xf numFmtId="8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10" fontId="4" fillId="4" borderId="0" xfId="0" applyNumberFormat="1" applyFont="1" applyFill="1" applyBorder="1" applyAlignment="1">
      <alignment horizontal="center" vertical="center"/>
    </xf>
    <xf numFmtId="43" fontId="4" fillId="4" borderId="0" xfId="1" applyFont="1" applyFill="1" applyBorder="1" applyAlignment="1">
      <alignment horizontal="center" vertical="center"/>
    </xf>
    <xf numFmtId="8" fontId="4" fillId="5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quotePrefix="1" applyFon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43" fontId="4" fillId="5" borderId="4" xfId="1" applyFont="1" applyFill="1" applyBorder="1" applyAlignment="1">
      <alignment horizontal="center" vertical="center"/>
    </xf>
    <xf numFmtId="8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14" fontId="4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quotePrefix="1" applyFont="1" applyFill="1" applyBorder="1" applyAlignment="1">
      <alignment horizontal="center" vertical="center"/>
    </xf>
    <xf numFmtId="10" fontId="4" fillId="5" borderId="0" xfId="0" applyNumberFormat="1" applyFont="1" applyFill="1" applyBorder="1" applyAlignment="1">
      <alignment horizontal="center" vertical="center"/>
    </xf>
    <xf numFmtId="43" fontId="4" fillId="5" borderId="0" xfId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8" fontId="4" fillId="5" borderId="5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right" vertical="center"/>
    </xf>
    <xf numFmtId="14" fontId="4" fillId="6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8" fontId="4" fillId="6" borderId="4" xfId="0" applyNumberFormat="1" applyFont="1" applyFill="1" applyBorder="1" applyAlignment="1">
      <alignment horizontal="center" vertical="center"/>
    </xf>
    <xf numFmtId="10" fontId="4" fillId="6" borderId="4" xfId="0" applyNumberFormat="1" applyFont="1" applyFill="1" applyBorder="1" applyAlignment="1">
      <alignment horizontal="center" vertical="center"/>
    </xf>
    <xf numFmtId="43" fontId="4" fillId="6" borderId="4" xfId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right" vertical="center"/>
    </xf>
    <xf numFmtId="14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8" fontId="4" fillId="6" borderId="0" xfId="0" applyNumberFormat="1" applyFont="1" applyFill="1" applyBorder="1" applyAlignment="1">
      <alignment horizontal="center" vertical="center"/>
    </xf>
    <xf numFmtId="10" fontId="4" fillId="6" borderId="0" xfId="0" applyNumberFormat="1" applyFont="1" applyFill="1" applyBorder="1" applyAlignment="1">
      <alignment horizontal="center" vertical="center"/>
    </xf>
    <xf numFmtId="43" fontId="4" fillId="6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8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indent="1"/>
    </xf>
    <xf numFmtId="8" fontId="4" fillId="4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8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 vertical="center"/>
    </xf>
    <xf numFmtId="8" fontId="3" fillId="4" borderId="0" xfId="0" applyNumberFormat="1" applyFont="1" applyFill="1" applyAlignment="1">
      <alignment horizontal="center"/>
    </xf>
    <xf numFmtId="0" fontId="3" fillId="3" borderId="0" xfId="0" applyFont="1" applyFill="1" applyBorder="1" applyAlignment="1">
      <alignment vertic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167" fontId="3" fillId="3" borderId="0" xfId="0" applyNumberFormat="1" applyFont="1" applyFill="1" applyBorder="1" applyAlignment="1">
      <alignment horizontal="right" vertical="center"/>
    </xf>
    <xf numFmtId="8" fontId="3" fillId="3" borderId="0" xfId="1" applyNumberFormat="1" applyFont="1" applyFill="1" applyBorder="1" applyAlignment="1">
      <alignment horizontal="center" vertical="center"/>
    </xf>
    <xf numFmtId="8" fontId="3" fillId="3" borderId="0" xfId="1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4" fontId="10" fillId="7" borderId="0" xfId="0" applyNumberFormat="1" applyFont="1" applyFill="1" applyAlignment="1">
      <alignment horizontal="center" vertical="center"/>
    </xf>
    <xf numFmtId="4" fontId="10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164" fontId="11" fillId="7" borderId="0" xfId="0" applyNumberFormat="1" applyFont="1" applyFill="1" applyAlignment="1">
      <alignment horizontal="center" vertical="center"/>
    </xf>
    <xf numFmtId="10" fontId="11" fillId="7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right" vertical="center"/>
    </xf>
    <xf numFmtId="14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8" fontId="4" fillId="8" borderId="0" xfId="0" applyNumberFormat="1" applyFont="1" applyFill="1" applyBorder="1" applyAlignment="1">
      <alignment horizontal="center" vertical="center"/>
    </xf>
    <xf numFmtId="10" fontId="4" fillId="8" borderId="0" xfId="0" applyNumberFormat="1" applyFont="1" applyFill="1" applyBorder="1" applyAlignment="1">
      <alignment horizontal="center" vertical="center"/>
    </xf>
    <xf numFmtId="43" fontId="4" fillId="8" borderId="0" xfId="1" applyFont="1" applyFill="1" applyBorder="1" applyAlignment="1">
      <alignment horizontal="center" vertical="center"/>
    </xf>
    <xf numFmtId="0" fontId="4" fillId="8" borderId="0" xfId="0" applyFont="1" applyFill="1" applyAlignment="1">
      <alignment vertical="center"/>
    </xf>
    <xf numFmtId="168" fontId="4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7" borderId="0" xfId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0" fontId="4" fillId="3" borderId="0" xfId="0" applyFont="1" applyFill="1"/>
    <xf numFmtId="43" fontId="4" fillId="3" borderId="0" xfId="1" applyFont="1" applyFill="1"/>
    <xf numFmtId="0" fontId="3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3" fillId="0" borderId="1" xfId="4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10" xfId="4" xr:uid="{AA24477A-F346-4A80-8F99-0AF577EC51CC}"/>
    <cellStyle name="Normal 2" xfId="7" xr:uid="{7FE63EFD-988A-40FF-90FB-1F1AF9D15776}"/>
    <cellStyle name="Normal 3 2" xfId="5" xr:uid="{2C6ECD55-85EA-42D0-8AB0-E308A14CAB65}"/>
    <cellStyle name="Percent" xfId="2" builtinId="5"/>
    <cellStyle name="Porcentagem 2 2" xfId="6" xr:uid="{933F86DF-331C-410D-9EED-31EB5FFAA647}"/>
    <cellStyle name="Porcentagem 3" xfId="3" xr:uid="{2AA49B8F-9DDB-4C20-A967-B3FA885D6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48683</xdr:colOff>
      <xdr:row>2</xdr:row>
      <xdr:rowOff>139700</xdr:rowOff>
    </xdr:to>
    <xdr:pic>
      <xdr:nvPicPr>
        <xdr:cNvPr id="2" name="Imagem 1" descr="Uma imagem contendo clip-art&#10;&#10;Descrição gerada automaticamente">
          <a:extLst>
            <a:ext uri="{FF2B5EF4-FFF2-40B4-BE49-F238E27FC236}">
              <a16:creationId xmlns:a16="http://schemas.microsoft.com/office/drawing/2014/main" id="{60769F2B-9F6A-4FCB-82A2-D4B59B4A55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2083858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_Negocios\3_Gestao\2_CRI\CRI_S218_219_A&amp;C%20Lima\2_Estruturacao\7_Liquidacao\3_Mapa%20de%20Liquida&#231;&#227;o\20190606_CRI_S218_219_A&amp;CLima_Mapa_Liquid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Up"/>
      <sheetName val="Relatório Liquidação"/>
      <sheetName val="Referencias"/>
      <sheetName val="Resum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6DD3-1623-48FB-8F86-3401CA558DF8}">
  <sheetPr codeName="Planilha1">
    <pageSetUpPr fitToPage="1"/>
  </sheetPr>
  <dimension ref="A1:Y79"/>
  <sheetViews>
    <sheetView showGridLines="0" tabSelected="1" zoomScaleNormal="100" zoomScaleSheetLayoutView="90" workbookViewId="0">
      <pane ySplit="7" topLeftCell="A56" activePane="bottomLeft" state="frozen"/>
      <selection pane="bottomLeft" activeCell="S79" sqref="S79"/>
    </sheetView>
  </sheetViews>
  <sheetFormatPr defaultColWidth="9" defaultRowHeight="12" customHeight="1" x14ac:dyDescent="0.2"/>
  <cols>
    <col min="1" max="1" width="3.08203125" style="2" customWidth="1"/>
    <col min="2" max="2" width="17.83203125" style="3" customWidth="1"/>
    <col min="3" max="3" width="8.83203125" style="3" bestFit="1" customWidth="1"/>
    <col min="4" max="4" width="10.33203125" style="3" bestFit="1" customWidth="1"/>
    <col min="5" max="5" width="11.08203125" style="3" customWidth="1"/>
    <col min="6" max="6" width="9" style="3" customWidth="1"/>
    <col min="7" max="7" width="30.25" style="3" customWidth="1"/>
    <col min="8" max="8" width="35" style="3" customWidth="1"/>
    <col min="9" max="9" width="14.5" style="3" hidden="1" customWidth="1"/>
    <col min="10" max="10" width="6.33203125" style="3" hidden="1" customWidth="1"/>
    <col min="11" max="11" width="20.08203125" style="3" hidden="1" customWidth="1"/>
    <col min="12" max="12" width="8.33203125" style="3" hidden="1" customWidth="1"/>
    <col min="13" max="13" width="10.83203125" style="3" hidden="1" customWidth="1"/>
    <col min="14" max="14" width="15.58203125" style="3" customWidth="1"/>
    <col min="15" max="15" width="9.25" style="4" customWidth="1"/>
    <col min="16" max="16" width="15.83203125" style="4" customWidth="1"/>
    <col min="17" max="17" width="9.33203125" style="4" customWidth="1"/>
    <col min="18" max="18" width="10.75" style="4" customWidth="1"/>
    <col min="19" max="19" width="18" style="4" customWidth="1"/>
    <col min="20" max="20" width="40.25" style="3" customWidth="1"/>
    <col min="21" max="21" width="0.83203125" style="5" customWidth="1"/>
    <col min="22" max="22" width="15.33203125" style="3" customWidth="1"/>
    <col min="23" max="23" width="12.58203125" style="3" bestFit="1" customWidth="1"/>
    <col min="24" max="24" width="11" style="3" hidden="1" customWidth="1"/>
    <col min="25" max="25" width="9.75" style="3" bestFit="1" customWidth="1"/>
    <col min="26" max="26" width="9" style="3" customWidth="1"/>
    <col min="27" max="27" width="10.25" style="3" customWidth="1"/>
    <col min="28" max="16384" width="9" style="3"/>
  </cols>
  <sheetData>
    <row r="1" spans="1:23" ht="12" customHeight="1" x14ac:dyDescent="0.2">
      <c r="O1" s="3"/>
      <c r="P1" s="3"/>
      <c r="W1" s="6">
        <v>-4.1836756281554699E-11</v>
      </c>
    </row>
    <row r="2" spans="1:23" ht="28.5" customHeight="1" x14ac:dyDescent="0.2">
      <c r="D2" s="159" t="s">
        <v>67</v>
      </c>
      <c r="E2" s="159"/>
      <c r="F2" s="159"/>
      <c r="G2" s="159"/>
      <c r="I2" s="7"/>
      <c r="N2" s="4"/>
      <c r="O2" s="8"/>
      <c r="P2" s="3"/>
      <c r="Q2" s="9"/>
      <c r="R2" s="9"/>
      <c r="S2" s="9"/>
    </row>
    <row r="3" spans="1:23" s="11" customFormat="1" ht="12" customHeight="1" thickBot="1" x14ac:dyDescent="0.25">
      <c r="A3" s="10"/>
      <c r="D3" s="159"/>
      <c r="E3" s="159"/>
      <c r="F3" s="159"/>
      <c r="G3" s="159"/>
      <c r="H3" s="9"/>
      <c r="I3" s="12"/>
      <c r="K3" s="3"/>
      <c r="L3" s="13"/>
      <c r="N3" s="3"/>
      <c r="O3" s="3"/>
      <c r="P3" s="3"/>
      <c r="U3" s="14"/>
    </row>
    <row r="4" spans="1:23" s="11" customFormat="1" ht="12" customHeight="1" x14ac:dyDescent="0.2">
      <c r="A4" s="10"/>
      <c r="D4" s="15"/>
      <c r="E4" s="15"/>
      <c r="F4" s="15"/>
      <c r="G4" s="15"/>
      <c r="H4" s="9"/>
      <c r="I4" s="12"/>
      <c r="K4" s="3"/>
      <c r="L4" s="13"/>
      <c r="N4" s="3"/>
      <c r="O4" s="3"/>
      <c r="P4" s="3"/>
      <c r="S4" s="151"/>
      <c r="T4" s="16" t="s">
        <v>62</v>
      </c>
      <c r="U4" s="14"/>
    </row>
    <row r="5" spans="1:23" s="11" customFormat="1" ht="12" customHeight="1" x14ac:dyDescent="0.3">
      <c r="A5" s="10"/>
      <c r="D5" s="17"/>
      <c r="E5" s="17"/>
      <c r="G5" s="18"/>
      <c r="H5" s="19"/>
      <c r="I5" s="20"/>
      <c r="J5" s="20"/>
      <c r="K5" s="21"/>
      <c r="N5" s="9"/>
      <c r="O5" s="9"/>
      <c r="P5" s="9"/>
      <c r="Q5" s="9"/>
      <c r="R5" s="22"/>
      <c r="S5" s="23"/>
      <c r="U5" s="14"/>
    </row>
    <row r="6" spans="1:23" s="11" customFormat="1" ht="15.75" customHeight="1" x14ac:dyDescent="0.3">
      <c r="A6" s="10"/>
      <c r="B6" s="160" t="s">
        <v>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24"/>
      <c r="U6" s="14"/>
    </row>
    <row r="7" spans="1:23" s="11" customFormat="1" ht="39" customHeight="1" x14ac:dyDescent="0.3">
      <c r="A7" s="10"/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6" t="s">
        <v>6</v>
      </c>
      <c r="H7" s="26" t="s">
        <v>7</v>
      </c>
      <c r="I7" s="25" t="s">
        <v>8</v>
      </c>
      <c r="J7" s="25" t="s">
        <v>9</v>
      </c>
      <c r="K7" s="25" t="s">
        <v>10</v>
      </c>
      <c r="L7" s="25" t="s">
        <v>11</v>
      </c>
      <c r="M7" s="25" t="s">
        <v>12</v>
      </c>
      <c r="N7" s="25" t="s">
        <v>13</v>
      </c>
      <c r="O7" s="25" t="s">
        <v>14</v>
      </c>
      <c r="P7" s="25" t="s">
        <v>15</v>
      </c>
      <c r="Q7" s="25" t="s">
        <v>16</v>
      </c>
      <c r="R7" s="25" t="s">
        <v>17</v>
      </c>
      <c r="S7" s="27" t="s">
        <v>18</v>
      </c>
      <c r="T7" s="25" t="s">
        <v>19</v>
      </c>
      <c r="U7" s="14"/>
    </row>
    <row r="8" spans="1:23" s="42" customFormat="1" ht="12" customHeight="1" x14ac:dyDescent="0.25">
      <c r="A8" s="28"/>
      <c r="B8" s="29" t="s">
        <v>20</v>
      </c>
      <c r="C8" s="30">
        <v>377</v>
      </c>
      <c r="D8" s="31">
        <v>43896</v>
      </c>
      <c r="E8" s="32">
        <v>1000</v>
      </c>
      <c r="F8" s="33">
        <v>5000</v>
      </c>
      <c r="G8" s="34" t="s">
        <v>20</v>
      </c>
      <c r="H8" s="35"/>
      <c r="I8" s="35"/>
      <c r="J8" s="36"/>
      <c r="K8" s="36"/>
      <c r="L8" s="37"/>
      <c r="M8" s="36"/>
      <c r="N8" s="29"/>
      <c r="O8" s="38"/>
      <c r="P8" s="29"/>
      <c r="Q8" s="38"/>
      <c r="R8" s="1"/>
      <c r="S8" s="39">
        <f t="shared" ref="S8" si="0">E8*F8</f>
        <v>5000000</v>
      </c>
      <c r="T8" s="29"/>
      <c r="U8" s="40"/>
      <c r="V8" s="41"/>
    </row>
    <row r="9" spans="1:23" s="42" customFormat="1" ht="12" customHeight="1" x14ac:dyDescent="0.25">
      <c r="A9" s="28"/>
      <c r="B9" s="29" t="s">
        <v>20</v>
      </c>
      <c r="C9" s="36" t="s">
        <v>21</v>
      </c>
      <c r="D9" s="31"/>
      <c r="E9" s="32"/>
      <c r="F9" s="33"/>
      <c r="G9" s="35" t="s">
        <v>22</v>
      </c>
      <c r="H9" s="35"/>
      <c r="I9" s="35"/>
      <c r="J9" s="36"/>
      <c r="K9" s="36"/>
      <c r="L9" s="37"/>
      <c r="M9" s="36"/>
      <c r="N9" s="29"/>
      <c r="O9" s="38"/>
      <c r="P9" s="29"/>
      <c r="Q9" s="38"/>
      <c r="R9" s="1"/>
      <c r="S9" s="43">
        <f>SUM(S8:S8)</f>
        <v>5000000</v>
      </c>
      <c r="T9" s="29"/>
      <c r="U9" s="40"/>
      <c r="V9" s="41"/>
    </row>
    <row r="10" spans="1:23" s="11" customFormat="1" ht="12" customHeight="1" x14ac:dyDescent="0.25">
      <c r="A10" s="44"/>
      <c r="B10" s="45" t="s">
        <v>23</v>
      </c>
      <c r="C10" s="46"/>
      <c r="D10" s="47"/>
      <c r="E10" s="46"/>
      <c r="F10" s="46"/>
      <c r="G10" s="46" t="s">
        <v>24</v>
      </c>
      <c r="H10" s="46" t="s">
        <v>25</v>
      </c>
      <c r="I10" s="46" t="s">
        <v>26</v>
      </c>
      <c r="J10" s="48">
        <v>341</v>
      </c>
      <c r="K10" s="48" t="s">
        <v>27</v>
      </c>
      <c r="L10" s="49" t="s">
        <v>28</v>
      </c>
      <c r="M10" s="48" t="s">
        <v>29</v>
      </c>
      <c r="N10" s="45">
        <f>($S$9*2%)</f>
        <v>100000</v>
      </c>
      <c r="O10" s="50">
        <v>0.1115</v>
      </c>
      <c r="P10" s="45">
        <f t="shared" ref="P10:P19" si="1">N10/(1-O10)</f>
        <v>112549.24029262803</v>
      </c>
      <c r="Q10" s="50">
        <v>6.1499999999999999E-2</v>
      </c>
      <c r="R10" s="51">
        <f>Q10*P10</f>
        <v>6921.7782779966237</v>
      </c>
      <c r="S10" s="45">
        <f>P10*(1-Q10)</f>
        <v>105627.46201463141</v>
      </c>
      <c r="T10" s="52" t="s">
        <v>73</v>
      </c>
      <c r="U10" s="40"/>
      <c r="V10" s="23"/>
    </row>
    <row r="11" spans="1:23" s="11" customFormat="1" ht="11.25" customHeight="1" x14ac:dyDescent="0.25">
      <c r="A11" s="44"/>
      <c r="B11" s="53" t="s">
        <v>23</v>
      </c>
      <c r="C11" s="54"/>
      <c r="D11" s="31"/>
      <c r="E11" s="54"/>
      <c r="F11" s="54"/>
      <c r="G11" s="54" t="s">
        <v>30</v>
      </c>
      <c r="H11" s="54" t="s">
        <v>25</v>
      </c>
      <c r="I11" s="54" t="s">
        <v>26</v>
      </c>
      <c r="J11" s="55">
        <v>341</v>
      </c>
      <c r="K11" s="55" t="s">
        <v>27</v>
      </c>
      <c r="L11" s="56" t="s">
        <v>28</v>
      </c>
      <c r="M11" s="55" t="s">
        <v>29</v>
      </c>
      <c r="N11" s="53">
        <f>($S$9*2%)</f>
        <v>100000</v>
      </c>
      <c r="O11" s="57">
        <v>0.1115</v>
      </c>
      <c r="P11" s="53">
        <f t="shared" si="1"/>
        <v>112549.24029262803</v>
      </c>
      <c r="Q11" s="57">
        <v>6.1499999999999999E-2</v>
      </c>
      <c r="R11" s="58">
        <f>Q11*P11</f>
        <v>6921.7782779966237</v>
      </c>
      <c r="S11" s="53">
        <f>P11*(1-Q11)</f>
        <v>105627.46201463141</v>
      </c>
      <c r="T11" s="58" t="s">
        <v>73</v>
      </c>
      <c r="U11" s="40"/>
      <c r="V11" s="23"/>
    </row>
    <row r="12" spans="1:23" s="11" customFormat="1" ht="11.25" customHeight="1" x14ac:dyDescent="0.3">
      <c r="A12" s="44"/>
      <c r="B12" s="59" t="s">
        <v>63</v>
      </c>
      <c r="C12" s="60"/>
      <c r="D12" s="61"/>
      <c r="E12" s="62"/>
      <c r="F12" s="62"/>
      <c r="G12" s="60" t="s">
        <v>31</v>
      </c>
      <c r="H12" s="60" t="s">
        <v>84</v>
      </c>
      <c r="I12" s="60" t="s">
        <v>85</v>
      </c>
      <c r="J12" s="63">
        <v>341</v>
      </c>
      <c r="K12" s="63" t="s">
        <v>81</v>
      </c>
      <c r="L12" s="64">
        <v>3100</v>
      </c>
      <c r="M12" s="63" t="s">
        <v>86</v>
      </c>
      <c r="N12" s="59">
        <v>103500</v>
      </c>
      <c r="O12" s="65">
        <v>0</v>
      </c>
      <c r="P12" s="59">
        <f t="shared" si="1"/>
        <v>103500</v>
      </c>
      <c r="Q12" s="65">
        <v>6.1499999999999999E-2</v>
      </c>
      <c r="R12" s="66">
        <f t="shared" ref="R12:R25" si="2">+Q12*P12</f>
        <v>6365.25</v>
      </c>
      <c r="S12" s="59">
        <f>P12*(1-Q12)</f>
        <v>97134.75</v>
      </c>
      <c r="T12" s="59"/>
      <c r="U12" s="40"/>
      <c r="V12" s="23"/>
    </row>
    <row r="13" spans="1:23" s="11" customFormat="1" ht="12" customHeight="1" x14ac:dyDescent="0.3">
      <c r="A13" s="44"/>
      <c r="B13" s="67" t="s">
        <v>63</v>
      </c>
      <c r="C13" s="68"/>
      <c r="D13" s="69"/>
      <c r="E13" s="70"/>
      <c r="F13" s="70"/>
      <c r="G13" s="68" t="s">
        <v>32</v>
      </c>
      <c r="H13" s="68" t="s">
        <v>74</v>
      </c>
      <c r="I13" s="68" t="s">
        <v>75</v>
      </c>
      <c r="J13" s="71">
        <v>237</v>
      </c>
      <c r="K13" s="71" t="s">
        <v>33</v>
      </c>
      <c r="L13" s="72">
        <v>2373</v>
      </c>
      <c r="M13" s="71" t="s">
        <v>76</v>
      </c>
      <c r="N13" s="67">
        <v>13950</v>
      </c>
      <c r="O13" s="73">
        <v>9.6500000000000002E-2</v>
      </c>
      <c r="P13" s="67">
        <f t="shared" si="1"/>
        <v>15439.955727725512</v>
      </c>
      <c r="Q13" s="73">
        <v>0</v>
      </c>
      <c r="R13" s="74">
        <f t="shared" si="2"/>
        <v>0</v>
      </c>
      <c r="S13" s="67">
        <f>P13*(1-Q13)</f>
        <v>15439.955727725512</v>
      </c>
      <c r="T13" s="67"/>
      <c r="U13" s="14"/>
      <c r="V13" s="75"/>
      <c r="W13" s="148"/>
    </row>
    <row r="14" spans="1:23" s="11" customFormat="1" ht="12" customHeight="1" x14ac:dyDescent="0.3">
      <c r="A14" s="44"/>
      <c r="B14" s="67" t="s">
        <v>63</v>
      </c>
      <c r="C14" s="68"/>
      <c r="D14" s="69"/>
      <c r="E14" s="70"/>
      <c r="F14" s="70"/>
      <c r="G14" s="68" t="s">
        <v>77</v>
      </c>
      <c r="H14" s="68" t="s">
        <v>78</v>
      </c>
      <c r="I14" s="68" t="s">
        <v>79</v>
      </c>
      <c r="J14" s="71" t="s">
        <v>80</v>
      </c>
      <c r="K14" s="71" t="s">
        <v>81</v>
      </c>
      <c r="L14" s="72" t="s">
        <v>82</v>
      </c>
      <c r="M14" s="71" t="s">
        <v>83</v>
      </c>
      <c r="N14" s="67">
        <v>3000</v>
      </c>
      <c r="O14" s="73">
        <v>0</v>
      </c>
      <c r="P14" s="67">
        <v>3000</v>
      </c>
      <c r="Q14" s="73">
        <v>0</v>
      </c>
      <c r="R14" s="74">
        <v>0</v>
      </c>
      <c r="S14" s="67">
        <v>3000</v>
      </c>
      <c r="T14" s="67"/>
      <c r="U14" s="14"/>
      <c r="V14" s="9"/>
    </row>
    <row r="15" spans="1:23" s="11" customFormat="1" ht="12" customHeight="1" x14ac:dyDescent="0.3">
      <c r="A15" s="44"/>
      <c r="B15" s="67" t="s">
        <v>63</v>
      </c>
      <c r="C15" s="68"/>
      <c r="D15" s="69"/>
      <c r="E15" s="70"/>
      <c r="F15" s="70"/>
      <c r="G15" s="68" t="s">
        <v>68</v>
      </c>
      <c r="H15" s="68" t="s">
        <v>34</v>
      </c>
      <c r="I15" s="68" t="s">
        <v>35</v>
      </c>
      <c r="J15" s="71">
        <v>341</v>
      </c>
      <c r="K15" s="71" t="s">
        <v>27</v>
      </c>
      <c r="L15" s="72">
        <v>6630</v>
      </c>
      <c r="M15" s="71" t="s">
        <v>36</v>
      </c>
      <c r="N15" s="67">
        <v>24000</v>
      </c>
      <c r="O15" s="73">
        <v>0.1115</v>
      </c>
      <c r="P15" s="67">
        <f t="shared" si="1"/>
        <v>27011.817670230728</v>
      </c>
      <c r="Q15" s="73">
        <v>6.1499999999999999E-2</v>
      </c>
      <c r="R15" s="74">
        <f>Q15*P15</f>
        <v>1661.2267867191897</v>
      </c>
      <c r="S15" s="67">
        <f t="shared" ref="S15" si="3">P15*(1-Q15)</f>
        <v>25350.590883511537</v>
      </c>
      <c r="T15" s="67"/>
      <c r="U15" s="14"/>
      <c r="V15" s="75"/>
    </row>
    <row r="16" spans="1:23" s="11" customFormat="1" ht="12" customHeight="1" x14ac:dyDescent="0.3">
      <c r="A16" s="44"/>
      <c r="B16" s="67" t="s">
        <v>63</v>
      </c>
      <c r="C16" s="68"/>
      <c r="D16" s="69"/>
      <c r="E16" s="70"/>
      <c r="F16" s="70"/>
      <c r="G16" s="68" t="s">
        <v>69</v>
      </c>
      <c r="H16" s="68" t="s">
        <v>34</v>
      </c>
      <c r="I16" s="68" t="s">
        <v>35</v>
      </c>
      <c r="J16" s="71">
        <v>341</v>
      </c>
      <c r="K16" s="71" t="s">
        <v>27</v>
      </c>
      <c r="L16" s="72">
        <v>6630</v>
      </c>
      <c r="M16" s="71" t="s">
        <v>36</v>
      </c>
      <c r="N16" s="67">
        <v>10000</v>
      </c>
      <c r="O16" s="73">
        <v>0.1115</v>
      </c>
      <c r="P16" s="67">
        <f t="shared" si="1"/>
        <v>11254.924029262804</v>
      </c>
      <c r="Q16" s="73">
        <v>6.1499999999999999E-2</v>
      </c>
      <c r="R16" s="74">
        <f>Q16*P16</f>
        <v>692.1778277996624</v>
      </c>
      <c r="S16" s="67">
        <f t="shared" ref="S16:S19" si="4">P16*(1-Q16)</f>
        <v>10562.746201463142</v>
      </c>
      <c r="T16" s="67"/>
      <c r="U16" s="14"/>
      <c r="V16" s="75"/>
    </row>
    <row r="17" spans="1:25" s="11" customFormat="1" ht="12" customHeight="1" x14ac:dyDescent="0.3">
      <c r="A17" s="44"/>
      <c r="B17" s="67" t="s">
        <v>23</v>
      </c>
      <c r="C17" s="68"/>
      <c r="D17" s="69"/>
      <c r="E17" s="70"/>
      <c r="F17" s="70"/>
      <c r="G17" s="68" t="s">
        <v>37</v>
      </c>
      <c r="H17" s="68" t="s">
        <v>38</v>
      </c>
      <c r="I17" s="68" t="s">
        <v>39</v>
      </c>
      <c r="J17" s="71">
        <v>341</v>
      </c>
      <c r="K17" s="71" t="s">
        <v>27</v>
      </c>
      <c r="L17" s="72" t="s">
        <v>60</v>
      </c>
      <c r="M17" s="71" t="s">
        <v>61</v>
      </c>
      <c r="N17" s="67">
        <v>12000</v>
      </c>
      <c r="O17" s="73">
        <v>0.1633</v>
      </c>
      <c r="P17" s="67">
        <f t="shared" si="1"/>
        <v>14342.058085335246</v>
      </c>
      <c r="Q17" s="73">
        <v>1.4999999999999999E-2</v>
      </c>
      <c r="R17" s="74">
        <f t="shared" si="2"/>
        <v>215.13087128002869</v>
      </c>
      <c r="S17" s="67">
        <f t="shared" si="4"/>
        <v>14126.927214055217</v>
      </c>
      <c r="T17" s="67"/>
      <c r="U17" s="14"/>
      <c r="V17" s="23"/>
      <c r="X17" s="14"/>
      <c r="Y17" s="23"/>
    </row>
    <row r="18" spans="1:25" s="11" customFormat="1" ht="12" customHeight="1" x14ac:dyDescent="0.3">
      <c r="A18" s="44"/>
      <c r="B18" s="67" t="s">
        <v>23</v>
      </c>
      <c r="C18" s="68"/>
      <c r="D18" s="69"/>
      <c r="E18" s="70"/>
      <c r="F18" s="70"/>
      <c r="G18" s="68" t="s">
        <v>40</v>
      </c>
      <c r="H18" s="68" t="s">
        <v>38</v>
      </c>
      <c r="I18" s="68" t="s">
        <v>39</v>
      </c>
      <c r="J18" s="71">
        <v>341</v>
      </c>
      <c r="K18" s="71" t="s">
        <v>27</v>
      </c>
      <c r="L18" s="72" t="s">
        <v>60</v>
      </c>
      <c r="M18" s="71" t="s">
        <v>61</v>
      </c>
      <c r="N18" s="67">
        <v>3000</v>
      </c>
      <c r="O18" s="73">
        <v>0.1633</v>
      </c>
      <c r="P18" s="67">
        <f t="shared" si="1"/>
        <v>3585.5145213338114</v>
      </c>
      <c r="Q18" s="73">
        <v>1.4999999999999999E-2</v>
      </c>
      <c r="R18" s="74">
        <f t="shared" si="2"/>
        <v>53.782717820007171</v>
      </c>
      <c r="S18" s="67">
        <f t="shared" si="4"/>
        <v>3531.7318035138042</v>
      </c>
      <c r="T18" s="67"/>
      <c r="U18" s="14"/>
      <c r="V18" s="23"/>
    </row>
    <row r="19" spans="1:25" s="11" customFormat="1" ht="12" customHeight="1" x14ac:dyDescent="0.3">
      <c r="A19" s="44"/>
      <c r="B19" s="67" t="s">
        <v>23</v>
      </c>
      <c r="C19" s="68"/>
      <c r="D19" s="69"/>
      <c r="E19" s="70"/>
      <c r="F19" s="70"/>
      <c r="G19" s="68" t="s">
        <v>41</v>
      </c>
      <c r="H19" s="68" t="s">
        <v>38</v>
      </c>
      <c r="I19" s="68" t="s">
        <v>39</v>
      </c>
      <c r="J19" s="71">
        <v>341</v>
      </c>
      <c r="K19" s="71" t="s">
        <v>27</v>
      </c>
      <c r="L19" s="72" t="s">
        <v>60</v>
      </c>
      <c r="M19" s="71" t="s">
        <v>61</v>
      </c>
      <c r="N19" s="67">
        <v>5511</v>
      </c>
      <c r="O19" s="73">
        <v>0.1633</v>
      </c>
      <c r="P19" s="67">
        <f t="shared" si="1"/>
        <v>6586.5901756902113</v>
      </c>
      <c r="Q19" s="73">
        <v>1.4999999999999999E-2</v>
      </c>
      <c r="R19" s="74">
        <f t="shared" si="2"/>
        <v>98.798852635353171</v>
      </c>
      <c r="S19" s="67">
        <f t="shared" si="4"/>
        <v>6487.7913230548584</v>
      </c>
      <c r="T19" s="76"/>
      <c r="U19" s="14"/>
    </row>
    <row r="20" spans="1:25" s="11" customFormat="1" ht="12" customHeight="1" x14ac:dyDescent="0.3">
      <c r="A20" s="44"/>
      <c r="B20" s="77" t="s">
        <v>42</v>
      </c>
      <c r="C20" s="78"/>
      <c r="D20" s="79"/>
      <c r="E20" s="78"/>
      <c r="F20" s="78"/>
      <c r="G20" s="80" t="s">
        <v>43</v>
      </c>
      <c r="H20" s="80" t="s">
        <v>44</v>
      </c>
      <c r="I20" s="80" t="s">
        <v>45</v>
      </c>
      <c r="J20" s="161"/>
      <c r="K20" s="161"/>
      <c r="L20" s="161"/>
      <c r="M20" s="161"/>
      <c r="N20" s="81"/>
      <c r="O20" s="82"/>
      <c r="P20" s="81"/>
      <c r="Q20" s="82"/>
      <c r="R20" s="83">
        <f t="shared" si="2"/>
        <v>0</v>
      </c>
      <c r="S20" s="81">
        <v>5511</v>
      </c>
      <c r="T20" s="81"/>
      <c r="U20" s="14"/>
    </row>
    <row r="21" spans="1:25" s="11" customFormat="1" ht="12" customHeight="1" x14ac:dyDescent="0.3">
      <c r="A21" s="44"/>
      <c r="B21" s="84" t="s">
        <v>42</v>
      </c>
      <c r="C21" s="85"/>
      <c r="D21" s="86"/>
      <c r="E21" s="85"/>
      <c r="F21" s="85"/>
      <c r="G21" s="87" t="s">
        <v>46</v>
      </c>
      <c r="H21" s="87" t="s">
        <v>44</v>
      </c>
      <c r="I21" s="87" t="s">
        <v>45</v>
      </c>
      <c r="J21" s="158"/>
      <c r="K21" s="158"/>
      <c r="L21" s="158"/>
      <c r="M21" s="158"/>
      <c r="N21" s="88"/>
      <c r="O21" s="89"/>
      <c r="P21" s="88"/>
      <c r="Q21" s="89"/>
      <c r="R21" s="90">
        <f t="shared" si="2"/>
        <v>0</v>
      </c>
      <c r="S21" s="88">
        <v>501</v>
      </c>
      <c r="T21" s="88"/>
      <c r="U21" s="14"/>
    </row>
    <row r="22" spans="1:25" s="146" customFormat="1" ht="12" customHeight="1" x14ac:dyDescent="0.3">
      <c r="A22" s="138"/>
      <c r="B22" s="139" t="s">
        <v>42</v>
      </c>
      <c r="C22" s="140"/>
      <c r="D22" s="141"/>
      <c r="E22" s="140"/>
      <c r="F22" s="140"/>
      <c r="G22" s="142" t="s">
        <v>47</v>
      </c>
      <c r="H22" s="142" t="s">
        <v>44</v>
      </c>
      <c r="I22" s="142" t="s">
        <v>45</v>
      </c>
      <c r="J22" s="162"/>
      <c r="K22" s="162"/>
      <c r="L22" s="162"/>
      <c r="M22" s="162"/>
      <c r="N22" s="143"/>
      <c r="O22" s="144"/>
      <c r="P22" s="143"/>
      <c r="Q22" s="144"/>
      <c r="R22" s="145">
        <f t="shared" si="2"/>
        <v>0</v>
      </c>
      <c r="S22" s="143">
        <v>14638</v>
      </c>
      <c r="T22" s="143"/>
    </row>
    <row r="23" spans="1:25" s="11" customFormat="1" ht="12" customHeight="1" x14ac:dyDescent="0.3">
      <c r="A23" s="44"/>
      <c r="B23" s="84" t="s">
        <v>42</v>
      </c>
      <c r="C23" s="85"/>
      <c r="D23" s="86"/>
      <c r="E23" s="85"/>
      <c r="F23" s="85"/>
      <c r="G23" s="87" t="s">
        <v>48</v>
      </c>
      <c r="H23" s="87" t="s">
        <v>44</v>
      </c>
      <c r="I23" s="87" t="s">
        <v>45</v>
      </c>
      <c r="J23" s="158"/>
      <c r="K23" s="158"/>
      <c r="L23" s="158"/>
      <c r="M23" s="158"/>
      <c r="N23" s="88"/>
      <c r="O23" s="89"/>
      <c r="P23" s="88"/>
      <c r="Q23" s="89"/>
      <c r="R23" s="90">
        <f t="shared" ref="R23:R24" si="5">+Q23*P23</f>
        <v>0</v>
      </c>
      <c r="S23" s="88">
        <v>1388</v>
      </c>
      <c r="T23" s="88"/>
      <c r="U23" s="14"/>
    </row>
    <row r="24" spans="1:25" s="11" customFormat="1" ht="12" customHeight="1" x14ac:dyDescent="0.3">
      <c r="A24" s="44"/>
      <c r="B24" s="84" t="s">
        <v>42</v>
      </c>
      <c r="C24" s="85"/>
      <c r="D24" s="86"/>
      <c r="E24" s="85"/>
      <c r="F24" s="85"/>
      <c r="G24" s="87" t="s">
        <v>64</v>
      </c>
      <c r="H24" s="87" t="s">
        <v>44</v>
      </c>
      <c r="I24" s="87" t="s">
        <v>45</v>
      </c>
      <c r="J24" s="158"/>
      <c r="K24" s="158"/>
      <c r="L24" s="158"/>
      <c r="M24" s="158"/>
      <c r="N24" s="88"/>
      <c r="O24" s="89"/>
      <c r="P24" s="88"/>
      <c r="Q24" s="89"/>
      <c r="R24" s="90">
        <f t="shared" si="5"/>
        <v>0</v>
      </c>
      <c r="S24" s="88">
        <v>30000</v>
      </c>
      <c r="T24" s="88"/>
      <c r="U24" s="14"/>
    </row>
    <row r="25" spans="1:25" s="146" customFormat="1" ht="12" customHeight="1" x14ac:dyDescent="0.3">
      <c r="A25" s="138"/>
      <c r="B25" s="139" t="s">
        <v>42</v>
      </c>
      <c r="C25" s="140"/>
      <c r="D25" s="141"/>
      <c r="E25" s="140"/>
      <c r="F25" s="140"/>
      <c r="G25" s="142" t="s">
        <v>66</v>
      </c>
      <c r="H25" s="142" t="s">
        <v>44</v>
      </c>
      <c r="I25" s="142" t="s">
        <v>45</v>
      </c>
      <c r="J25" s="162"/>
      <c r="K25" s="162"/>
      <c r="L25" s="162"/>
      <c r="M25" s="162"/>
      <c r="N25" s="143"/>
      <c r="O25" s="144"/>
      <c r="P25" s="143"/>
      <c r="Q25" s="144"/>
      <c r="R25" s="145">
        <f t="shared" si="2"/>
        <v>0</v>
      </c>
      <c r="S25" s="143">
        <v>14638</v>
      </c>
      <c r="T25" s="143"/>
    </row>
    <row r="26" spans="1:25" s="14" customFormat="1" ht="12" customHeight="1" x14ac:dyDescent="0.3">
      <c r="A26" s="91"/>
      <c r="B26" s="92"/>
      <c r="C26" s="93"/>
      <c r="D26" s="94"/>
      <c r="E26" s="93"/>
      <c r="F26" s="93"/>
      <c r="G26" s="95" t="s">
        <v>49</v>
      </c>
      <c r="H26" s="95"/>
      <c r="I26" s="95"/>
      <c r="J26" s="165"/>
      <c r="K26" s="165"/>
      <c r="L26" s="165"/>
      <c r="M26" s="165"/>
      <c r="N26" s="96"/>
      <c r="O26" s="97"/>
      <c r="P26" s="96"/>
      <c r="Q26" s="97"/>
      <c r="R26" s="98"/>
      <c r="S26" s="96">
        <f>SUM(S27:S31)</f>
        <v>22929.923612247487</v>
      </c>
      <c r="T26" s="96"/>
      <c r="U26" s="40"/>
      <c r="V26" s="147"/>
    </row>
    <row r="27" spans="1:25" s="11" customFormat="1" ht="12" customHeight="1" x14ac:dyDescent="0.2">
      <c r="A27" s="10"/>
      <c r="B27" s="55" t="s">
        <v>50</v>
      </c>
      <c r="C27" s="54"/>
      <c r="D27" s="99"/>
      <c r="E27" s="54"/>
      <c r="F27" s="54"/>
      <c r="G27" s="100" t="s">
        <v>51</v>
      </c>
      <c r="H27" s="54" t="s">
        <v>25</v>
      </c>
      <c r="I27" s="54" t="s">
        <v>26</v>
      </c>
      <c r="J27" s="166"/>
      <c r="K27" s="166"/>
      <c r="L27" s="166"/>
      <c r="M27" s="166"/>
      <c r="N27" s="53"/>
      <c r="O27" s="57"/>
      <c r="P27" s="101"/>
      <c r="Q27" s="57"/>
      <c r="R27" s="58"/>
      <c r="S27" s="53">
        <f>SUMIF($I$10:$I$25,I27,$R$10:$R$25)</f>
        <v>13843.556555993247</v>
      </c>
      <c r="T27" s="53"/>
      <c r="U27" s="40"/>
    </row>
    <row r="28" spans="1:25" s="14" customFormat="1" ht="12" customHeight="1" x14ac:dyDescent="0.2">
      <c r="A28" s="91"/>
      <c r="B28" s="102" t="s">
        <v>50</v>
      </c>
      <c r="C28" s="94"/>
      <c r="D28" s="103"/>
      <c r="E28" s="94"/>
      <c r="F28" s="94"/>
      <c r="G28" s="104" t="s">
        <v>65</v>
      </c>
      <c r="H28" s="94" t="s">
        <v>84</v>
      </c>
      <c r="I28" s="94" t="s">
        <v>85</v>
      </c>
      <c r="J28" s="105"/>
      <c r="K28" s="105"/>
      <c r="L28" s="105"/>
      <c r="M28" s="105"/>
      <c r="N28" s="92"/>
      <c r="O28" s="106"/>
      <c r="P28" s="107"/>
      <c r="Q28" s="106"/>
      <c r="R28" s="108"/>
      <c r="S28" s="92">
        <f>SUMIF($I$10:$I$25,I28,$R$10:$R$25)</f>
        <v>6365.25</v>
      </c>
      <c r="T28" s="92"/>
      <c r="U28" s="40"/>
    </row>
    <row r="29" spans="1:25" s="11" customFormat="1" ht="12" customHeight="1" x14ac:dyDescent="0.3">
      <c r="A29" s="10"/>
      <c r="B29" s="55" t="s">
        <v>50</v>
      </c>
      <c r="C29" s="54"/>
      <c r="D29" s="99"/>
      <c r="E29" s="54"/>
      <c r="F29" s="54"/>
      <c r="G29" s="100" t="s">
        <v>52</v>
      </c>
      <c r="H29" s="54" t="s">
        <v>74</v>
      </c>
      <c r="I29" s="54" t="s">
        <v>75</v>
      </c>
      <c r="J29" s="167"/>
      <c r="K29" s="167"/>
      <c r="L29" s="167"/>
      <c r="M29" s="167"/>
      <c r="N29" s="53"/>
      <c r="O29" s="57"/>
      <c r="P29" s="53"/>
      <c r="Q29" s="57"/>
      <c r="R29" s="58"/>
      <c r="S29" s="53">
        <f>SUMIF($I$10:$I$25,I29,$R$10:$R$25)</f>
        <v>0</v>
      </c>
      <c r="T29" s="53"/>
      <c r="U29" s="14"/>
    </row>
    <row r="30" spans="1:25" s="14" customFormat="1" ht="12" customHeight="1" x14ac:dyDescent="0.2">
      <c r="A30" s="91"/>
      <c r="B30" s="102" t="s">
        <v>50</v>
      </c>
      <c r="C30" s="94"/>
      <c r="D30" s="103"/>
      <c r="E30" s="94"/>
      <c r="F30" s="94"/>
      <c r="G30" s="104" t="s">
        <v>53</v>
      </c>
      <c r="H30" s="94" t="s">
        <v>34</v>
      </c>
      <c r="I30" s="94" t="s">
        <v>35</v>
      </c>
      <c r="J30" s="168"/>
      <c r="K30" s="168"/>
      <c r="L30" s="168"/>
      <c r="M30" s="168"/>
      <c r="N30" s="92"/>
      <c r="O30" s="106"/>
      <c r="P30" s="107"/>
      <c r="Q30" s="106"/>
      <c r="R30" s="108"/>
      <c r="S30" s="92">
        <f>SUMIF($I$10:$I$25,I30,$R$10:$R$26)</f>
        <v>2353.4046145188522</v>
      </c>
      <c r="T30" s="92"/>
      <c r="U30" s="40"/>
    </row>
    <row r="31" spans="1:25" s="11" customFormat="1" ht="10.5" customHeight="1" x14ac:dyDescent="0.25">
      <c r="A31" s="10"/>
      <c r="B31" s="55" t="s">
        <v>50</v>
      </c>
      <c r="C31" s="54"/>
      <c r="D31" s="99"/>
      <c r="E31" s="54"/>
      <c r="F31" s="54"/>
      <c r="G31" s="100" t="s">
        <v>54</v>
      </c>
      <c r="H31" s="54" t="s">
        <v>38</v>
      </c>
      <c r="I31" s="54" t="s">
        <v>39</v>
      </c>
      <c r="J31" s="167"/>
      <c r="K31" s="167"/>
      <c r="L31" s="167"/>
      <c r="M31" s="167"/>
      <c r="N31" s="53"/>
      <c r="O31" s="57"/>
      <c r="P31" s="53"/>
      <c r="Q31" s="57"/>
      <c r="R31" s="58"/>
      <c r="S31" s="53">
        <f>SUMIF($I$10:$I$25,I31,$R$10:$R$25)</f>
        <v>367.71244173538901</v>
      </c>
      <c r="T31" s="53"/>
      <c r="U31" s="40"/>
      <c r="X31" s="109" t="s">
        <v>20</v>
      </c>
    </row>
    <row r="32" spans="1:25" s="14" customFormat="1" ht="12" customHeight="1" x14ac:dyDescent="0.2">
      <c r="A32" s="91"/>
      <c r="B32" s="102" t="s">
        <v>55</v>
      </c>
      <c r="C32" s="94"/>
      <c r="D32" s="103"/>
      <c r="E32" s="94"/>
      <c r="F32" s="94"/>
      <c r="G32" s="104" t="s">
        <v>56</v>
      </c>
      <c r="H32" s="94" t="s">
        <v>44</v>
      </c>
      <c r="I32" s="94" t="s">
        <v>45</v>
      </c>
      <c r="J32" s="117">
        <v>341</v>
      </c>
      <c r="K32" s="117" t="s">
        <v>27</v>
      </c>
      <c r="L32" s="117" t="s">
        <v>57</v>
      </c>
      <c r="M32" s="117" t="s">
        <v>58</v>
      </c>
      <c r="N32" s="92"/>
      <c r="O32" s="106"/>
      <c r="P32" s="107"/>
      <c r="Q32" s="106"/>
      <c r="R32" s="108"/>
      <c r="S32" s="92">
        <v>11946.03</v>
      </c>
      <c r="T32" s="92"/>
      <c r="U32" s="40"/>
      <c r="X32" s="14" t="s">
        <v>23</v>
      </c>
    </row>
    <row r="33" spans="1:24" s="11" customFormat="1" ht="12" customHeight="1" x14ac:dyDescent="0.3">
      <c r="A33" s="10"/>
      <c r="B33" s="116" t="s">
        <v>23</v>
      </c>
      <c r="C33" s="54"/>
      <c r="D33" s="99"/>
      <c r="E33" s="54"/>
      <c r="F33" s="54"/>
      <c r="G33" s="100" t="s">
        <v>87</v>
      </c>
      <c r="H33" s="54" t="s">
        <v>44</v>
      </c>
      <c r="I33" s="54" t="s">
        <v>45</v>
      </c>
      <c r="J33" s="116">
        <v>341</v>
      </c>
      <c r="K33" s="116" t="s">
        <v>27</v>
      </c>
      <c r="L33" s="116" t="s">
        <v>71</v>
      </c>
      <c r="M33" s="116" t="s">
        <v>72</v>
      </c>
      <c r="N33" s="53"/>
      <c r="O33" s="57"/>
      <c r="P33" s="53"/>
      <c r="Q33" s="57"/>
      <c r="R33" s="58"/>
      <c r="S33" s="53">
        <v>32304.03</v>
      </c>
      <c r="T33" s="53"/>
      <c r="U33" s="14"/>
    </row>
    <row r="34" spans="1:24" s="14" customFormat="1" ht="12" customHeight="1" x14ac:dyDescent="0.2">
      <c r="A34" s="91"/>
      <c r="B34" s="102" t="s">
        <v>23</v>
      </c>
      <c r="C34" s="94"/>
      <c r="D34" s="103"/>
      <c r="E34" s="94"/>
      <c r="F34" s="94"/>
      <c r="G34" s="104" t="s">
        <v>59</v>
      </c>
      <c r="H34" s="94" t="s">
        <v>44</v>
      </c>
      <c r="I34" s="94" t="s">
        <v>45</v>
      </c>
      <c r="J34" s="117">
        <v>341</v>
      </c>
      <c r="K34" s="117" t="s">
        <v>27</v>
      </c>
      <c r="L34" s="117" t="s">
        <v>71</v>
      </c>
      <c r="M34" s="117" t="s">
        <v>72</v>
      </c>
      <c r="N34" s="92"/>
      <c r="O34" s="106"/>
      <c r="P34" s="107"/>
      <c r="Q34" s="106"/>
      <c r="R34" s="108"/>
      <c r="S34" s="92">
        <v>95774.87</v>
      </c>
      <c r="T34" s="92"/>
      <c r="U34" s="40"/>
    </row>
    <row r="35" spans="1:24" s="11" customFormat="1" ht="12" customHeight="1" x14ac:dyDescent="0.3">
      <c r="A35" s="10"/>
      <c r="B35" s="116" t="s">
        <v>23</v>
      </c>
      <c r="C35" s="54"/>
      <c r="D35" s="99"/>
      <c r="E35" s="54"/>
      <c r="F35" s="54"/>
      <c r="G35" s="100" t="s">
        <v>70</v>
      </c>
      <c r="H35" s="54" t="s">
        <v>44</v>
      </c>
      <c r="I35" s="54" t="s">
        <v>45</v>
      </c>
      <c r="J35" s="116">
        <v>341</v>
      </c>
      <c r="K35" s="116" t="s">
        <v>27</v>
      </c>
      <c r="L35" s="116" t="s">
        <v>71</v>
      </c>
      <c r="M35" s="116" t="s">
        <v>72</v>
      </c>
      <c r="N35" s="53"/>
      <c r="O35" s="57"/>
      <c r="P35" s="53"/>
      <c r="Q35" s="57"/>
      <c r="R35" s="58"/>
      <c r="S35" s="53">
        <f>-1*SUM(-S9,S10:S26,S32:S34)</f>
        <v>4383479.729205166</v>
      </c>
      <c r="T35" s="53"/>
      <c r="U35" s="14"/>
    </row>
    <row r="36" spans="1:24" s="14" customFormat="1" ht="12" customHeight="1" x14ac:dyDescent="0.2">
      <c r="A36" s="91"/>
      <c r="B36" s="102" t="s">
        <v>21</v>
      </c>
      <c r="C36" s="94"/>
      <c r="D36" s="103"/>
      <c r="E36" s="94"/>
      <c r="F36" s="94"/>
      <c r="G36" s="104"/>
      <c r="H36" s="94"/>
      <c r="I36" s="94"/>
      <c r="J36" s="117"/>
      <c r="K36" s="117"/>
      <c r="L36" s="117"/>
      <c r="M36" s="117"/>
      <c r="N36" s="92"/>
      <c r="O36" s="106"/>
      <c r="P36" s="107"/>
      <c r="Q36" s="106"/>
      <c r="R36" s="108"/>
      <c r="S36" s="92">
        <f>-SUM(-S9,S10:S26,S32:S35)</f>
        <v>0</v>
      </c>
      <c r="T36" s="92"/>
      <c r="U36" s="40"/>
      <c r="X36" s="14" t="s">
        <v>55</v>
      </c>
    </row>
    <row r="37" spans="1:24" ht="12" customHeight="1" x14ac:dyDescent="0.25">
      <c r="B37" s="110"/>
      <c r="C37" s="110"/>
      <c r="D37" s="110"/>
      <c r="E37" s="110"/>
      <c r="F37" s="110"/>
      <c r="G37" s="110"/>
      <c r="H37" s="110"/>
      <c r="I37" s="111"/>
      <c r="J37" s="111"/>
      <c r="K37" s="112"/>
      <c r="L37" s="111"/>
      <c r="M37" s="113"/>
      <c r="N37" s="113"/>
      <c r="O37" s="114"/>
      <c r="P37" s="115"/>
      <c r="Q37" s="114"/>
      <c r="R37" s="114"/>
      <c r="S37" s="114"/>
      <c r="T37" s="114"/>
    </row>
    <row r="38" spans="1:24" s="42" customFormat="1" ht="12" customHeight="1" x14ac:dyDescent="0.25">
      <c r="A38" s="28"/>
      <c r="B38" s="29" t="s">
        <v>20</v>
      </c>
      <c r="C38" s="30">
        <v>377</v>
      </c>
      <c r="D38" s="31">
        <v>43906</v>
      </c>
      <c r="E38" s="32">
        <v>1002.49783113</v>
      </c>
      <c r="F38" s="33">
        <v>9400</v>
      </c>
      <c r="G38" s="34" t="s">
        <v>20</v>
      </c>
      <c r="H38" s="35"/>
      <c r="I38" s="35"/>
      <c r="J38" s="36"/>
      <c r="K38" s="36"/>
      <c r="L38" s="37"/>
      <c r="M38" s="36"/>
      <c r="N38" s="29"/>
      <c r="O38" s="38"/>
      <c r="P38" s="29"/>
      <c r="Q38" s="38"/>
      <c r="R38" s="1"/>
      <c r="S38" s="39">
        <f t="shared" ref="S38" si="6">E38*F38</f>
        <v>9423479.6126220003</v>
      </c>
      <c r="T38" s="29"/>
      <c r="U38" s="40"/>
      <c r="V38" s="41"/>
    </row>
    <row r="39" spans="1:24" s="42" customFormat="1" ht="12" customHeight="1" x14ac:dyDescent="0.25">
      <c r="A39" s="28"/>
      <c r="B39" s="29" t="s">
        <v>20</v>
      </c>
      <c r="C39" s="36" t="s">
        <v>21</v>
      </c>
      <c r="D39" s="31"/>
      <c r="E39" s="32"/>
      <c r="F39" s="33"/>
      <c r="G39" s="35" t="s">
        <v>22</v>
      </c>
      <c r="H39" s="35"/>
      <c r="I39" s="35"/>
      <c r="J39" s="36"/>
      <c r="K39" s="36"/>
      <c r="L39" s="37"/>
      <c r="M39" s="36"/>
      <c r="N39" s="29"/>
      <c r="O39" s="38"/>
      <c r="P39" s="29"/>
      <c r="Q39" s="38"/>
      <c r="R39" s="1"/>
      <c r="S39" s="43">
        <f>SUM(S38:S38)</f>
        <v>9423479.6126220003</v>
      </c>
      <c r="T39" s="29"/>
      <c r="U39" s="40"/>
      <c r="V39" s="41"/>
    </row>
    <row r="40" spans="1:24" s="11" customFormat="1" ht="12" customHeight="1" x14ac:dyDescent="0.25">
      <c r="A40" s="44"/>
      <c r="B40" s="45" t="s">
        <v>23</v>
      </c>
      <c r="C40" s="46"/>
      <c r="D40" s="47"/>
      <c r="E40" s="46"/>
      <c r="F40" s="46"/>
      <c r="G40" s="46" t="s">
        <v>24</v>
      </c>
      <c r="H40" s="46" t="s">
        <v>25</v>
      </c>
      <c r="I40" s="46" t="s">
        <v>26</v>
      </c>
      <c r="J40" s="48">
        <v>341</v>
      </c>
      <c r="K40" s="48" t="s">
        <v>27</v>
      </c>
      <c r="L40" s="49" t="s">
        <v>28</v>
      </c>
      <c r="M40" s="48" t="s">
        <v>29</v>
      </c>
      <c r="N40" s="45">
        <f>(S38*2%)</f>
        <v>188469.59225244002</v>
      </c>
      <c r="O40" s="50">
        <v>0.1115</v>
      </c>
      <c r="P40" s="45">
        <f t="shared" ref="P40:P41" si="7">N40/(1-O40)</f>
        <v>212121.09426273499</v>
      </c>
      <c r="Q40" s="50">
        <v>6.1499999999999999E-2</v>
      </c>
      <c r="R40" s="51">
        <f>Q40*P40</f>
        <v>13045.447297158202</v>
      </c>
      <c r="S40" s="45">
        <f>P40*(1-Q40)</f>
        <v>199075.64696557677</v>
      </c>
      <c r="T40" s="52" t="s">
        <v>73</v>
      </c>
      <c r="U40" s="40"/>
      <c r="V40" s="23"/>
    </row>
    <row r="41" spans="1:24" s="11" customFormat="1" ht="12" customHeight="1" x14ac:dyDescent="0.25">
      <c r="A41" s="44"/>
      <c r="B41" s="53" t="s">
        <v>23</v>
      </c>
      <c r="C41" s="54"/>
      <c r="D41" s="31"/>
      <c r="E41" s="54"/>
      <c r="F41" s="54"/>
      <c r="G41" s="54" t="s">
        <v>30</v>
      </c>
      <c r="H41" s="54" t="s">
        <v>25</v>
      </c>
      <c r="I41" s="54" t="s">
        <v>26</v>
      </c>
      <c r="J41" s="118">
        <v>341</v>
      </c>
      <c r="K41" s="118" t="s">
        <v>27</v>
      </c>
      <c r="L41" s="56" t="s">
        <v>28</v>
      </c>
      <c r="M41" s="118" t="s">
        <v>29</v>
      </c>
      <c r="N41" s="53">
        <f>(S39*2%)</f>
        <v>188469.59225244002</v>
      </c>
      <c r="O41" s="57">
        <v>0.1115</v>
      </c>
      <c r="P41" s="53">
        <f t="shared" si="7"/>
        <v>212121.09426273499</v>
      </c>
      <c r="Q41" s="57">
        <v>6.1499999999999999E-2</v>
      </c>
      <c r="R41" s="58">
        <f>Q41*P41</f>
        <v>13045.447297158202</v>
      </c>
      <c r="S41" s="53">
        <f>P41*(1-Q41)</f>
        <v>199075.64696557677</v>
      </c>
      <c r="T41" s="58" t="s">
        <v>73</v>
      </c>
      <c r="U41" s="40"/>
      <c r="V41" s="23"/>
    </row>
    <row r="42" spans="1:24" s="14" customFormat="1" ht="12" customHeight="1" x14ac:dyDescent="0.3">
      <c r="A42" s="91"/>
      <c r="B42" s="92"/>
      <c r="C42" s="93"/>
      <c r="D42" s="94"/>
      <c r="E42" s="93"/>
      <c r="F42" s="93"/>
      <c r="G42" s="95" t="s">
        <v>49</v>
      </c>
      <c r="H42" s="95"/>
      <c r="I42" s="95"/>
      <c r="J42" s="165"/>
      <c r="K42" s="165"/>
      <c r="L42" s="165"/>
      <c r="M42" s="165"/>
      <c r="N42" s="96"/>
      <c r="O42" s="97"/>
      <c r="P42" s="96"/>
      <c r="Q42" s="97"/>
      <c r="R42" s="98"/>
      <c r="S42" s="120">
        <f>SUM(S43)</f>
        <v>26090.894594316404</v>
      </c>
      <c r="T42" s="96"/>
      <c r="U42" s="40"/>
    </row>
    <row r="43" spans="1:24" s="11" customFormat="1" ht="12" customHeight="1" x14ac:dyDescent="0.2">
      <c r="A43" s="10"/>
      <c r="B43" s="118" t="s">
        <v>50</v>
      </c>
      <c r="C43" s="54"/>
      <c r="D43" s="99"/>
      <c r="E43" s="54"/>
      <c r="F43" s="54"/>
      <c r="G43" s="100" t="s">
        <v>51</v>
      </c>
      <c r="H43" s="54" t="s">
        <v>25</v>
      </c>
      <c r="I43" s="54" t="s">
        <v>26</v>
      </c>
      <c r="J43" s="166"/>
      <c r="K43" s="166"/>
      <c r="L43" s="166"/>
      <c r="M43" s="166"/>
      <c r="N43" s="53"/>
      <c r="O43" s="57"/>
      <c r="P43" s="101"/>
      <c r="Q43" s="57"/>
      <c r="R43" s="58"/>
      <c r="S43" s="53">
        <f>SUM(R40:R42)</f>
        <v>26090.894594316404</v>
      </c>
      <c r="T43" s="53"/>
      <c r="U43" s="40"/>
    </row>
    <row r="44" spans="1:24" s="11" customFormat="1" ht="12" customHeight="1" x14ac:dyDescent="0.25">
      <c r="A44" s="44"/>
      <c r="B44" s="53" t="s">
        <v>23</v>
      </c>
      <c r="C44" s="54"/>
      <c r="D44" s="31"/>
      <c r="E44" s="54"/>
      <c r="F44" s="54"/>
      <c r="G44" s="100" t="s">
        <v>59</v>
      </c>
      <c r="H44" s="54" t="s">
        <v>44</v>
      </c>
      <c r="I44" s="54" t="s">
        <v>45</v>
      </c>
      <c r="J44" s="118">
        <v>341</v>
      </c>
      <c r="K44" s="118" t="s">
        <v>27</v>
      </c>
      <c r="L44" s="56" t="s">
        <v>71</v>
      </c>
      <c r="M44" s="118" t="s">
        <v>72</v>
      </c>
      <c r="N44" s="53"/>
      <c r="O44" s="57"/>
      <c r="P44" s="53"/>
      <c r="Q44" s="57"/>
      <c r="R44" s="58"/>
      <c r="S44" s="53">
        <v>180506.96</v>
      </c>
      <c r="T44" s="58"/>
      <c r="U44" s="40"/>
      <c r="V44" s="23"/>
    </row>
    <row r="45" spans="1:24" s="11" customFormat="1" ht="12" customHeight="1" x14ac:dyDescent="0.3">
      <c r="A45" s="10"/>
      <c r="B45" s="118" t="s">
        <v>23</v>
      </c>
      <c r="C45" s="54"/>
      <c r="D45" s="99"/>
      <c r="E45" s="54"/>
      <c r="F45" s="54"/>
      <c r="G45" s="100" t="s">
        <v>70</v>
      </c>
      <c r="H45" s="54" t="s">
        <v>44</v>
      </c>
      <c r="I45" s="54" t="s">
        <v>45</v>
      </c>
      <c r="J45" s="118">
        <v>341</v>
      </c>
      <c r="K45" s="118" t="s">
        <v>27</v>
      </c>
      <c r="L45" s="118" t="s">
        <v>71</v>
      </c>
      <c r="M45" s="118" t="s">
        <v>72</v>
      </c>
      <c r="N45" s="53"/>
      <c r="O45" s="57"/>
      <c r="P45" s="53"/>
      <c r="Q45" s="57"/>
      <c r="R45" s="58"/>
      <c r="S45" s="53">
        <f>S39-SUM(S40:S44)+S42</f>
        <v>8818730.4640965313</v>
      </c>
      <c r="T45" s="53"/>
      <c r="U45" s="14"/>
    </row>
    <row r="46" spans="1:24" s="14" customFormat="1" ht="12" customHeight="1" x14ac:dyDescent="0.2">
      <c r="A46" s="91"/>
      <c r="B46" s="102" t="s">
        <v>21</v>
      </c>
      <c r="C46" s="94"/>
      <c r="D46" s="103"/>
      <c r="E46" s="94"/>
      <c r="F46" s="94"/>
      <c r="G46" s="104"/>
      <c r="H46" s="94"/>
      <c r="I46" s="94"/>
      <c r="J46" s="119"/>
      <c r="K46" s="119"/>
      <c r="L46" s="119"/>
      <c r="M46" s="119"/>
      <c r="N46" s="92"/>
      <c r="O46" s="106"/>
      <c r="P46" s="107"/>
      <c r="Q46" s="106"/>
      <c r="R46" s="108"/>
      <c r="S46" s="92">
        <f>-SUM(-S39,S40:S45)+S42</f>
        <v>-2.7612259145826101E-9</v>
      </c>
      <c r="T46" s="92"/>
      <c r="U46" s="40"/>
      <c r="X46" s="14" t="s">
        <v>55</v>
      </c>
    </row>
    <row r="47" spans="1:24" ht="12" customHeight="1" x14ac:dyDescent="0.25">
      <c r="B47" s="110"/>
      <c r="C47" s="110"/>
      <c r="D47" s="110"/>
      <c r="E47" s="110"/>
      <c r="F47" s="110"/>
      <c r="G47" s="110"/>
      <c r="H47" s="110"/>
      <c r="I47" s="111"/>
      <c r="J47" s="111"/>
      <c r="K47" s="112"/>
      <c r="L47" s="111"/>
      <c r="M47" s="113"/>
      <c r="N47" s="113"/>
      <c r="O47" s="114"/>
      <c r="P47" s="115"/>
      <c r="Q47" s="114"/>
      <c r="R47" s="114"/>
      <c r="S47" s="114"/>
      <c r="T47" s="114"/>
    </row>
    <row r="48" spans="1:24" s="14" customFormat="1" ht="12" customHeight="1" x14ac:dyDescent="0.3">
      <c r="A48" s="91"/>
      <c r="B48" s="121" t="s">
        <v>20</v>
      </c>
      <c r="C48" s="122">
        <v>378</v>
      </c>
      <c r="D48" s="123">
        <v>43914</v>
      </c>
      <c r="E48" s="124">
        <v>1000</v>
      </c>
      <c r="F48" s="122">
        <v>2200</v>
      </c>
      <c r="G48" s="125" t="s">
        <v>20</v>
      </c>
      <c r="H48" s="125"/>
      <c r="I48" s="125"/>
      <c r="J48" s="122"/>
      <c r="K48" s="122"/>
      <c r="L48" s="122"/>
      <c r="M48" s="122"/>
      <c r="N48" s="122"/>
      <c r="O48" s="122"/>
      <c r="P48" s="122"/>
      <c r="Q48" s="122"/>
      <c r="R48" s="122"/>
      <c r="S48" s="124">
        <f>E48*F48</f>
        <v>2200000</v>
      </c>
      <c r="T48" s="92"/>
      <c r="U48" s="40"/>
    </row>
    <row r="49" spans="1:21" s="14" customFormat="1" ht="12" customHeight="1" x14ac:dyDescent="0.3">
      <c r="A49" s="91"/>
      <c r="B49" s="122" t="s">
        <v>20</v>
      </c>
      <c r="C49" s="122" t="s">
        <v>21</v>
      </c>
      <c r="D49" s="122"/>
      <c r="E49" s="122"/>
      <c r="F49" s="122"/>
      <c r="G49" s="125" t="s">
        <v>22</v>
      </c>
      <c r="H49" s="125"/>
      <c r="I49" s="125"/>
      <c r="J49" s="122"/>
      <c r="K49" s="122"/>
      <c r="L49" s="122"/>
      <c r="M49" s="122"/>
      <c r="N49" s="122"/>
      <c r="O49" s="122"/>
      <c r="P49" s="122"/>
      <c r="Q49" s="122"/>
      <c r="R49" s="122"/>
      <c r="S49" s="124">
        <v>2200000</v>
      </c>
      <c r="T49" s="92"/>
      <c r="U49" s="40"/>
    </row>
    <row r="50" spans="1:21" s="14" customFormat="1" ht="12" customHeight="1" x14ac:dyDescent="0.3">
      <c r="A50" s="91"/>
      <c r="B50" s="126" t="s">
        <v>23</v>
      </c>
      <c r="C50" s="128"/>
      <c r="D50" s="127"/>
      <c r="E50" s="128"/>
      <c r="F50" s="128"/>
      <c r="G50" s="129" t="s">
        <v>24</v>
      </c>
      <c r="H50" s="129" t="s">
        <v>25</v>
      </c>
      <c r="I50" s="129" t="s">
        <v>26</v>
      </c>
      <c r="J50" s="126">
        <v>341</v>
      </c>
      <c r="K50" s="126" t="s">
        <v>27</v>
      </c>
      <c r="L50" s="126" t="s">
        <v>28</v>
      </c>
      <c r="M50" s="126" t="s">
        <v>29</v>
      </c>
      <c r="N50" s="130">
        <f>(S48*2%)</f>
        <v>44000</v>
      </c>
      <c r="O50" s="131">
        <v>0.1115</v>
      </c>
      <c r="P50" s="130">
        <f t="shared" ref="P50:P51" si="8">N50/(1-O50)</f>
        <v>49521.665728756336</v>
      </c>
      <c r="Q50" s="131">
        <v>6.1499999999999999E-2</v>
      </c>
      <c r="R50" s="152">
        <f>Q50*P50</f>
        <v>3045.5824423185145</v>
      </c>
      <c r="S50" s="130">
        <f>P50*(1-Q50)</f>
        <v>46476.083286437824</v>
      </c>
      <c r="T50" s="92"/>
      <c r="U50" s="40"/>
    </row>
    <row r="51" spans="1:21" s="14" customFormat="1" ht="12" customHeight="1" x14ac:dyDescent="0.3">
      <c r="A51" s="91"/>
      <c r="B51" s="132" t="s">
        <v>23</v>
      </c>
      <c r="C51" s="133"/>
      <c r="D51" s="122"/>
      <c r="E51" s="133"/>
      <c r="F51" s="133"/>
      <c r="G51" s="133" t="s">
        <v>30</v>
      </c>
      <c r="H51" s="133" t="s">
        <v>25</v>
      </c>
      <c r="I51" s="133" t="s">
        <v>26</v>
      </c>
      <c r="J51" s="132">
        <v>341</v>
      </c>
      <c r="K51" s="132" t="s">
        <v>27</v>
      </c>
      <c r="L51" s="132" t="s">
        <v>28</v>
      </c>
      <c r="M51" s="132" t="s">
        <v>29</v>
      </c>
      <c r="N51" s="134">
        <f>(S49*2%)</f>
        <v>44000</v>
      </c>
      <c r="O51" s="135">
        <v>0.1115</v>
      </c>
      <c r="P51" s="134">
        <f t="shared" si="8"/>
        <v>49521.665728756336</v>
      </c>
      <c r="Q51" s="135">
        <v>6.1499999999999999E-2</v>
      </c>
      <c r="R51" s="153">
        <f>Q51*P51</f>
        <v>3045.5824423185145</v>
      </c>
      <c r="S51" s="134">
        <f>P51*(1-Q51)</f>
        <v>46476.083286437824</v>
      </c>
      <c r="T51" s="92"/>
      <c r="U51" s="40"/>
    </row>
    <row r="52" spans="1:21" s="14" customFormat="1" ht="12" customHeight="1" x14ac:dyDescent="0.3">
      <c r="A52" s="91"/>
      <c r="B52" s="128"/>
      <c r="C52" s="128"/>
      <c r="D52" s="128"/>
      <c r="E52" s="128"/>
      <c r="F52" s="128"/>
      <c r="G52" s="136" t="s">
        <v>49</v>
      </c>
      <c r="H52" s="128"/>
      <c r="I52" s="128"/>
      <c r="J52" s="163"/>
      <c r="K52" s="163"/>
      <c r="L52" s="163"/>
      <c r="M52" s="163"/>
      <c r="N52" s="128"/>
      <c r="O52" s="128"/>
      <c r="P52" s="128"/>
      <c r="Q52" s="128"/>
      <c r="R52" s="128"/>
      <c r="S52" s="137">
        <v>6091.16</v>
      </c>
      <c r="T52" s="92"/>
      <c r="U52" s="40"/>
    </row>
    <row r="53" spans="1:21" s="14" customFormat="1" ht="12" customHeight="1" x14ac:dyDescent="0.3">
      <c r="A53" s="91"/>
      <c r="B53" s="132" t="s">
        <v>50</v>
      </c>
      <c r="C53" s="133"/>
      <c r="D53" s="132"/>
      <c r="E53" s="133"/>
      <c r="F53" s="133"/>
      <c r="G53" s="133" t="s">
        <v>51</v>
      </c>
      <c r="H53" s="133" t="s">
        <v>25</v>
      </c>
      <c r="I53" s="133" t="s">
        <v>26</v>
      </c>
      <c r="J53" s="164"/>
      <c r="K53" s="164"/>
      <c r="L53" s="164"/>
      <c r="M53" s="164"/>
      <c r="N53" s="132"/>
      <c r="O53" s="132"/>
      <c r="P53" s="132"/>
      <c r="Q53" s="132"/>
      <c r="R53" s="132"/>
      <c r="S53" s="134">
        <v>6091.16</v>
      </c>
      <c r="T53" s="92"/>
      <c r="U53" s="40"/>
    </row>
    <row r="54" spans="1:21" s="14" customFormat="1" ht="12" customHeight="1" x14ac:dyDescent="0.3">
      <c r="A54" s="91"/>
      <c r="B54" s="132" t="s">
        <v>23</v>
      </c>
      <c r="C54" s="133"/>
      <c r="D54" s="122"/>
      <c r="E54" s="133"/>
      <c r="F54" s="133"/>
      <c r="G54" s="133" t="s">
        <v>59</v>
      </c>
      <c r="H54" s="133" t="s">
        <v>44</v>
      </c>
      <c r="I54" s="133" t="s">
        <v>45</v>
      </c>
      <c r="J54" s="132">
        <v>341</v>
      </c>
      <c r="K54" s="132" t="s">
        <v>27</v>
      </c>
      <c r="L54" s="132">
        <v>393</v>
      </c>
      <c r="M54" s="132" t="s">
        <v>72</v>
      </c>
      <c r="N54" s="132"/>
      <c r="O54" s="132"/>
      <c r="P54" s="132"/>
      <c r="Q54" s="132"/>
      <c r="R54" s="132"/>
      <c r="S54" s="134">
        <v>91882.14</v>
      </c>
      <c r="T54" s="92"/>
      <c r="U54" s="40"/>
    </row>
    <row r="55" spans="1:21" s="14" customFormat="1" ht="12" customHeight="1" x14ac:dyDescent="0.3">
      <c r="A55" s="91"/>
      <c r="B55" s="132" t="s">
        <v>23</v>
      </c>
      <c r="C55" s="133"/>
      <c r="D55" s="132"/>
      <c r="E55" s="133"/>
      <c r="F55" s="133"/>
      <c r="G55" s="133" t="s">
        <v>70</v>
      </c>
      <c r="H55" s="133" t="s">
        <v>44</v>
      </c>
      <c r="I55" s="133" t="s">
        <v>45</v>
      </c>
      <c r="J55" s="132">
        <v>341</v>
      </c>
      <c r="K55" s="132" t="s">
        <v>27</v>
      </c>
      <c r="L55" s="132">
        <v>393</v>
      </c>
      <c r="M55" s="132" t="s">
        <v>72</v>
      </c>
      <c r="N55" s="132"/>
      <c r="O55" s="132"/>
      <c r="P55" s="132"/>
      <c r="Q55" s="132"/>
      <c r="R55" s="132"/>
      <c r="S55" s="134">
        <f>S49-S50-S51-S52-S54</f>
        <v>2009074.5334271246</v>
      </c>
      <c r="T55" s="92"/>
      <c r="U55" s="40"/>
    </row>
    <row r="56" spans="1:21" s="14" customFormat="1" ht="13" x14ac:dyDescent="0.3">
      <c r="A56" s="91"/>
      <c r="B56" s="126" t="s">
        <v>21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7"/>
      <c r="Q56" s="128"/>
      <c r="R56" s="128"/>
      <c r="S56" s="130">
        <v>0</v>
      </c>
      <c r="T56" s="92"/>
      <c r="U56" s="40"/>
    </row>
    <row r="57" spans="1:21" ht="12" customHeight="1" x14ac:dyDescent="0.25">
      <c r="B57" s="110"/>
      <c r="C57" s="110"/>
      <c r="D57" s="110"/>
      <c r="E57" s="110"/>
      <c r="F57" s="110"/>
      <c r="G57" s="110"/>
      <c r="H57" s="110"/>
      <c r="I57" s="111"/>
      <c r="J57" s="111"/>
      <c r="K57" s="112"/>
      <c r="L57" s="111"/>
      <c r="M57" s="113"/>
      <c r="N57" s="113"/>
      <c r="O57" s="114"/>
      <c r="P57" s="115"/>
      <c r="Q57" s="114"/>
      <c r="R57" s="114"/>
      <c r="S57" s="114"/>
      <c r="T57" s="114"/>
    </row>
    <row r="58" spans="1:21" s="14" customFormat="1" ht="12" customHeight="1" x14ac:dyDescent="0.3">
      <c r="A58" s="91"/>
      <c r="B58" s="121" t="s">
        <v>20</v>
      </c>
      <c r="C58" s="122">
        <v>379</v>
      </c>
      <c r="D58" s="123">
        <v>44355</v>
      </c>
      <c r="E58" s="124">
        <v>1000</v>
      </c>
      <c r="F58" s="122">
        <v>640</v>
      </c>
      <c r="G58" s="125" t="s">
        <v>20</v>
      </c>
      <c r="H58" s="125"/>
      <c r="I58" s="125"/>
      <c r="J58" s="122"/>
      <c r="K58" s="122"/>
      <c r="L58" s="122"/>
      <c r="M58" s="122"/>
      <c r="N58" s="122"/>
      <c r="O58" s="122"/>
      <c r="P58" s="122"/>
      <c r="Q58" s="122"/>
      <c r="R58" s="122"/>
      <c r="S58" s="124">
        <f>E58*F58</f>
        <v>640000</v>
      </c>
      <c r="T58" s="92"/>
      <c r="U58" s="40"/>
    </row>
    <row r="59" spans="1:21" s="14" customFormat="1" ht="12" customHeight="1" x14ac:dyDescent="0.3">
      <c r="A59" s="91"/>
      <c r="B59" s="121" t="s">
        <v>20</v>
      </c>
      <c r="C59" s="122">
        <v>381</v>
      </c>
      <c r="D59" s="123">
        <v>44355</v>
      </c>
      <c r="E59" s="124">
        <v>1000</v>
      </c>
      <c r="F59" s="122">
        <v>1600</v>
      </c>
      <c r="G59" s="125" t="s">
        <v>20</v>
      </c>
      <c r="H59" s="125"/>
      <c r="I59" s="125"/>
      <c r="J59" s="122"/>
      <c r="K59" s="122"/>
      <c r="L59" s="122"/>
      <c r="M59" s="122"/>
      <c r="N59" s="122"/>
      <c r="O59" s="122"/>
      <c r="P59" s="122"/>
      <c r="Q59" s="122"/>
      <c r="R59" s="122"/>
      <c r="S59" s="124">
        <f>E59*F59</f>
        <v>1600000</v>
      </c>
      <c r="T59" s="92"/>
      <c r="U59" s="40"/>
    </row>
    <row r="60" spans="1:21" s="14" customFormat="1" ht="12" customHeight="1" x14ac:dyDescent="0.3">
      <c r="A60" s="91"/>
      <c r="B60" s="122" t="s">
        <v>20</v>
      </c>
      <c r="C60" s="122" t="s">
        <v>21</v>
      </c>
      <c r="D60" s="122"/>
      <c r="E60" s="122"/>
      <c r="F60" s="122"/>
      <c r="G60" s="125" t="s">
        <v>22</v>
      </c>
      <c r="H60" s="125"/>
      <c r="I60" s="125"/>
      <c r="J60" s="122"/>
      <c r="K60" s="122"/>
      <c r="L60" s="122"/>
      <c r="M60" s="122"/>
      <c r="N60" s="122"/>
      <c r="O60" s="122"/>
      <c r="P60" s="122"/>
      <c r="Q60" s="122"/>
      <c r="R60" s="122"/>
      <c r="S60" s="124">
        <f>S58+S59</f>
        <v>2240000</v>
      </c>
      <c r="T60" s="92"/>
      <c r="U60" s="40"/>
    </row>
    <row r="61" spans="1:21" s="14" customFormat="1" ht="12" customHeight="1" x14ac:dyDescent="0.3">
      <c r="A61" s="91"/>
      <c r="B61" s="126" t="s">
        <v>23</v>
      </c>
      <c r="C61" s="149"/>
      <c r="D61" s="127"/>
      <c r="E61" s="149"/>
      <c r="F61" s="149"/>
      <c r="G61" s="129" t="s">
        <v>24</v>
      </c>
      <c r="H61" s="129" t="s">
        <v>25</v>
      </c>
      <c r="I61" s="129" t="s">
        <v>26</v>
      </c>
      <c r="J61" s="126">
        <v>341</v>
      </c>
      <c r="K61" s="126" t="s">
        <v>27</v>
      </c>
      <c r="L61" s="126" t="s">
        <v>28</v>
      </c>
      <c r="M61" s="126" t="s">
        <v>29</v>
      </c>
      <c r="N61" s="130">
        <f>(S60*2%)</f>
        <v>44800</v>
      </c>
      <c r="O61" s="131">
        <v>0.1115</v>
      </c>
      <c r="P61" s="130">
        <f t="shared" ref="P61" si="9">N61/(1-O61)</f>
        <v>50422.059651097356</v>
      </c>
      <c r="Q61" s="131">
        <v>6.1499999999999999E-2</v>
      </c>
      <c r="R61" s="152">
        <f>Q61*P61</f>
        <v>3100.9566685424875</v>
      </c>
      <c r="S61" s="130">
        <f>P61*(1-Q61)</f>
        <v>47321.102982554869</v>
      </c>
      <c r="T61" s="92"/>
      <c r="U61" s="40"/>
    </row>
    <row r="62" spans="1:21" s="14" customFormat="1" ht="12" customHeight="1" x14ac:dyDescent="0.3">
      <c r="A62" s="91"/>
      <c r="B62" s="150" t="s">
        <v>23</v>
      </c>
      <c r="C62" s="133"/>
      <c r="D62" s="122"/>
      <c r="E62" s="133"/>
      <c r="F62" s="133"/>
      <c r="G62" s="133" t="s">
        <v>30</v>
      </c>
      <c r="H62" s="133" t="s">
        <v>25</v>
      </c>
      <c r="I62" s="133" t="s">
        <v>26</v>
      </c>
      <c r="J62" s="150">
        <v>341</v>
      </c>
      <c r="K62" s="150" t="s">
        <v>27</v>
      </c>
      <c r="L62" s="150" t="s">
        <v>28</v>
      </c>
      <c r="M62" s="150" t="s">
        <v>29</v>
      </c>
      <c r="N62" s="134">
        <f>(S60*2%)</f>
        <v>44800</v>
      </c>
      <c r="O62" s="135">
        <v>0.1115</v>
      </c>
      <c r="P62" s="134">
        <f>N62/(1-O62)</f>
        <v>50422.059651097356</v>
      </c>
      <c r="Q62" s="135">
        <v>6.1499999999999999E-2</v>
      </c>
      <c r="R62" s="153">
        <f>Q62*P62</f>
        <v>3100.9566685424875</v>
      </c>
      <c r="S62" s="134">
        <f>P62*(1-Q62)</f>
        <v>47321.102982554869</v>
      </c>
      <c r="T62" s="92"/>
      <c r="U62" s="40"/>
    </row>
    <row r="63" spans="1:21" s="14" customFormat="1" ht="12" customHeight="1" x14ac:dyDescent="0.3">
      <c r="A63" s="91"/>
      <c r="B63" s="149"/>
      <c r="C63" s="149"/>
      <c r="D63" s="149"/>
      <c r="E63" s="149"/>
      <c r="F63" s="149"/>
      <c r="G63" s="136" t="s">
        <v>49</v>
      </c>
      <c r="H63" s="149"/>
      <c r="I63" s="149"/>
      <c r="J63" s="163"/>
      <c r="K63" s="163"/>
      <c r="L63" s="163"/>
      <c r="M63" s="163"/>
      <c r="N63" s="149"/>
      <c r="O63" s="149"/>
      <c r="P63" s="149"/>
      <c r="Q63" s="149"/>
      <c r="R63" s="149"/>
      <c r="S63" s="137">
        <f>S64</f>
        <v>6201.913337084975</v>
      </c>
      <c r="T63" s="92"/>
      <c r="U63" s="40"/>
    </row>
    <row r="64" spans="1:21" s="14" customFormat="1" ht="12" customHeight="1" x14ac:dyDescent="0.3">
      <c r="A64" s="91"/>
      <c r="B64" s="150" t="s">
        <v>50</v>
      </c>
      <c r="C64" s="133"/>
      <c r="D64" s="150"/>
      <c r="E64" s="133"/>
      <c r="F64" s="133"/>
      <c r="G64" s="133" t="s">
        <v>51</v>
      </c>
      <c r="H64" s="133" t="s">
        <v>25</v>
      </c>
      <c r="I64" s="133" t="s">
        <v>26</v>
      </c>
      <c r="J64" s="164"/>
      <c r="K64" s="164"/>
      <c r="L64" s="164"/>
      <c r="M64" s="164"/>
      <c r="N64" s="150"/>
      <c r="O64" s="150"/>
      <c r="P64" s="150"/>
      <c r="Q64" s="150"/>
      <c r="R64" s="150"/>
      <c r="S64" s="134">
        <f>R61+R62</f>
        <v>6201.913337084975</v>
      </c>
      <c r="T64" s="92"/>
      <c r="U64" s="40"/>
    </row>
    <row r="65" spans="1:21" s="14" customFormat="1" ht="12" customHeight="1" x14ac:dyDescent="0.3">
      <c r="A65" s="91"/>
      <c r="B65" s="150" t="s">
        <v>23</v>
      </c>
      <c r="C65" s="133"/>
      <c r="D65" s="122"/>
      <c r="E65" s="133"/>
      <c r="F65" s="133"/>
      <c r="G65" s="133" t="s">
        <v>59</v>
      </c>
      <c r="H65" s="133" t="s">
        <v>44</v>
      </c>
      <c r="I65" s="133" t="s">
        <v>45</v>
      </c>
      <c r="J65" s="150">
        <v>341</v>
      </c>
      <c r="K65" s="150" t="s">
        <v>27</v>
      </c>
      <c r="L65" s="150">
        <v>393</v>
      </c>
      <c r="M65" s="150" t="s">
        <v>72</v>
      </c>
      <c r="N65" s="150"/>
      <c r="O65" s="150"/>
      <c r="P65" s="150"/>
      <c r="Q65" s="150"/>
      <c r="R65" s="150"/>
      <c r="S65" s="134">
        <v>60383.59</v>
      </c>
      <c r="T65" s="92"/>
      <c r="U65" s="40"/>
    </row>
    <row r="66" spans="1:21" s="14" customFormat="1" ht="12" customHeight="1" x14ac:dyDescent="0.3">
      <c r="A66" s="91"/>
      <c r="B66" s="150" t="s">
        <v>23</v>
      </c>
      <c r="C66" s="133"/>
      <c r="D66" s="150"/>
      <c r="E66" s="133"/>
      <c r="F66" s="133"/>
      <c r="G66" s="133" t="s">
        <v>70</v>
      </c>
      <c r="H66" s="133" t="s">
        <v>44</v>
      </c>
      <c r="I66" s="133" t="s">
        <v>45</v>
      </c>
      <c r="J66" s="150">
        <v>341</v>
      </c>
      <c r="K66" s="150" t="s">
        <v>27</v>
      </c>
      <c r="L66" s="150">
        <v>393</v>
      </c>
      <c r="M66" s="150" t="s">
        <v>72</v>
      </c>
      <c r="N66" s="150"/>
      <c r="O66" s="150"/>
      <c r="P66" s="150"/>
      <c r="Q66" s="150"/>
      <c r="R66" s="150"/>
      <c r="S66" s="134">
        <f>S60-S61-S62-S63-S65</f>
        <v>2078772.2906978049</v>
      </c>
      <c r="T66" s="92"/>
      <c r="U66" s="40"/>
    </row>
    <row r="67" spans="1:21" s="14" customFormat="1" ht="13" x14ac:dyDescent="0.3">
      <c r="A67" s="91"/>
      <c r="B67" s="126" t="s">
        <v>21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27"/>
      <c r="Q67" s="149"/>
      <c r="R67" s="149"/>
      <c r="S67" s="130">
        <f>S66+S65+S63+S62+S61-S60</f>
        <v>0</v>
      </c>
      <c r="T67" s="92"/>
      <c r="U67" s="40"/>
    </row>
    <row r="68" spans="1:21" ht="12" customHeight="1" x14ac:dyDescent="0.2"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7"/>
      <c r="P68" s="157"/>
      <c r="Q68" s="157"/>
      <c r="R68" s="157"/>
      <c r="S68" s="157"/>
    </row>
    <row r="69" spans="1:21" ht="12" customHeight="1" x14ac:dyDescent="0.2">
      <c r="B69" s="121" t="s">
        <v>20</v>
      </c>
      <c r="C69" s="122">
        <v>379</v>
      </c>
      <c r="D69" s="123">
        <v>44357</v>
      </c>
      <c r="E69" s="124">
        <v>1000.90595811</v>
      </c>
      <c r="F69" s="122">
        <v>640</v>
      </c>
      <c r="G69" s="125" t="s">
        <v>20</v>
      </c>
      <c r="H69" s="125"/>
      <c r="I69" s="125"/>
      <c r="J69" s="122"/>
      <c r="K69" s="122"/>
      <c r="L69" s="122"/>
      <c r="M69" s="122"/>
      <c r="N69" s="122"/>
      <c r="O69" s="122"/>
      <c r="P69" s="122"/>
      <c r="Q69" s="122"/>
      <c r="R69" s="122"/>
      <c r="S69" s="124">
        <f>E69*F69</f>
        <v>640579.81319040002</v>
      </c>
    </row>
    <row r="70" spans="1:21" ht="12" customHeight="1" x14ac:dyDescent="0.2">
      <c r="B70" s="121" t="s">
        <v>20</v>
      </c>
      <c r="C70" s="122">
        <v>381</v>
      </c>
      <c r="D70" s="123">
        <v>44357</v>
      </c>
      <c r="E70" s="124">
        <v>1000.90595811</v>
      </c>
      <c r="F70" s="122">
        <v>1600</v>
      </c>
      <c r="G70" s="125" t="s">
        <v>20</v>
      </c>
      <c r="H70" s="125"/>
      <c r="I70" s="125"/>
      <c r="J70" s="122"/>
      <c r="K70" s="122"/>
      <c r="L70" s="122"/>
      <c r="M70" s="122"/>
      <c r="N70" s="122"/>
      <c r="O70" s="122"/>
      <c r="P70" s="122"/>
      <c r="Q70" s="122"/>
      <c r="R70" s="122"/>
      <c r="S70" s="124">
        <f>E70*F70</f>
        <v>1601449.5329760001</v>
      </c>
    </row>
    <row r="71" spans="1:21" ht="12" customHeight="1" x14ac:dyDescent="0.2">
      <c r="B71" s="122" t="s">
        <v>20</v>
      </c>
      <c r="C71" s="122" t="s">
        <v>21</v>
      </c>
      <c r="D71" s="122"/>
      <c r="E71" s="122"/>
      <c r="F71" s="122"/>
      <c r="G71" s="125" t="s">
        <v>22</v>
      </c>
      <c r="H71" s="125"/>
      <c r="I71" s="125"/>
      <c r="J71" s="122"/>
      <c r="K71" s="122"/>
      <c r="L71" s="122"/>
      <c r="M71" s="122"/>
      <c r="N71" s="122"/>
      <c r="O71" s="122"/>
      <c r="P71" s="122"/>
      <c r="Q71" s="122"/>
      <c r="R71" s="122"/>
      <c r="S71" s="124">
        <f>S69+S70</f>
        <v>2242029.3461664002</v>
      </c>
    </row>
    <row r="72" spans="1:21" ht="12" customHeight="1" x14ac:dyDescent="0.3">
      <c r="B72" s="126" t="s">
        <v>23</v>
      </c>
      <c r="C72" s="154"/>
      <c r="D72" s="127"/>
      <c r="E72" s="154"/>
      <c r="F72" s="154"/>
      <c r="G72" s="129" t="s">
        <v>24</v>
      </c>
      <c r="H72" s="129" t="s">
        <v>25</v>
      </c>
      <c r="I72" s="129" t="s">
        <v>26</v>
      </c>
      <c r="J72" s="126">
        <v>341</v>
      </c>
      <c r="K72" s="126" t="s">
        <v>27</v>
      </c>
      <c r="L72" s="126" t="s">
        <v>28</v>
      </c>
      <c r="M72" s="126" t="s">
        <v>29</v>
      </c>
      <c r="N72" s="130">
        <f>(S71*2%)</f>
        <v>44840.586923328003</v>
      </c>
      <c r="O72" s="131">
        <v>0.1115</v>
      </c>
      <c r="P72" s="130">
        <f t="shared" ref="P72" si="10">N72/(1-O72)</f>
        <v>50467.739924961177</v>
      </c>
      <c r="Q72" s="131">
        <v>6.1499999999999999E-2</v>
      </c>
      <c r="R72" s="152">
        <f>Q72*P72</f>
        <v>3103.7660053851123</v>
      </c>
      <c r="S72" s="130">
        <f>P72*(1-Q72)</f>
        <v>47363.973919576063</v>
      </c>
    </row>
    <row r="73" spans="1:21" ht="12" customHeight="1" x14ac:dyDescent="0.2">
      <c r="B73" s="155" t="s">
        <v>23</v>
      </c>
      <c r="C73" s="133"/>
      <c r="D73" s="122"/>
      <c r="E73" s="133"/>
      <c r="F73" s="133"/>
      <c r="G73" s="133" t="s">
        <v>30</v>
      </c>
      <c r="H73" s="133" t="s">
        <v>25</v>
      </c>
      <c r="I73" s="133" t="s">
        <v>26</v>
      </c>
      <c r="J73" s="155">
        <v>341</v>
      </c>
      <c r="K73" s="155" t="s">
        <v>27</v>
      </c>
      <c r="L73" s="155" t="s">
        <v>28</v>
      </c>
      <c r="M73" s="155" t="s">
        <v>29</v>
      </c>
      <c r="N73" s="134">
        <f>(S71*2%)</f>
        <v>44840.586923328003</v>
      </c>
      <c r="O73" s="135">
        <v>0.1115</v>
      </c>
      <c r="P73" s="134">
        <f>N73/(1-O73)</f>
        <v>50467.739924961177</v>
      </c>
      <c r="Q73" s="135">
        <v>6.1499999999999999E-2</v>
      </c>
      <c r="R73" s="153">
        <f>Q73*P73</f>
        <v>3103.7660053851123</v>
      </c>
      <c r="S73" s="134">
        <f>P73*(1-Q73)</f>
        <v>47363.973919576063</v>
      </c>
    </row>
    <row r="74" spans="1:21" ht="12" customHeight="1" x14ac:dyDescent="0.2">
      <c r="B74" s="154"/>
      <c r="C74" s="154"/>
      <c r="D74" s="154"/>
      <c r="E74" s="154"/>
      <c r="F74" s="154"/>
      <c r="G74" s="136" t="s">
        <v>49</v>
      </c>
      <c r="H74" s="154"/>
      <c r="I74" s="154"/>
      <c r="J74" s="163"/>
      <c r="K74" s="163"/>
      <c r="L74" s="163"/>
      <c r="M74" s="163"/>
      <c r="N74" s="154"/>
      <c r="O74" s="154"/>
      <c r="P74" s="154"/>
      <c r="Q74" s="154"/>
      <c r="R74" s="154"/>
      <c r="S74" s="137">
        <f>S75</f>
        <v>6207.5320107702246</v>
      </c>
    </row>
    <row r="75" spans="1:21" ht="12" customHeight="1" x14ac:dyDescent="0.2">
      <c r="B75" s="155" t="s">
        <v>50</v>
      </c>
      <c r="C75" s="133"/>
      <c r="D75" s="155"/>
      <c r="E75" s="133"/>
      <c r="F75" s="133"/>
      <c r="G75" s="133" t="s">
        <v>51</v>
      </c>
      <c r="H75" s="133" t="s">
        <v>25</v>
      </c>
      <c r="I75" s="133" t="s">
        <v>26</v>
      </c>
      <c r="J75" s="164"/>
      <c r="K75" s="164"/>
      <c r="L75" s="164"/>
      <c r="M75" s="164"/>
      <c r="N75" s="155"/>
      <c r="O75" s="155"/>
      <c r="P75" s="155"/>
      <c r="Q75" s="155"/>
      <c r="R75" s="155"/>
      <c r="S75" s="134">
        <f>R72+R73</f>
        <v>6207.5320107702246</v>
      </c>
    </row>
    <row r="76" spans="1:21" ht="12" customHeight="1" x14ac:dyDescent="0.2">
      <c r="B76" s="155" t="s">
        <v>23</v>
      </c>
      <c r="C76" s="133"/>
      <c r="D76" s="122"/>
      <c r="E76" s="133"/>
      <c r="F76" s="133"/>
      <c r="G76" s="133" t="s">
        <v>59</v>
      </c>
      <c r="H76" s="133" t="s">
        <v>44</v>
      </c>
      <c r="I76" s="133" t="s">
        <v>45</v>
      </c>
      <c r="J76" s="155">
        <v>341</v>
      </c>
      <c r="K76" s="155" t="s">
        <v>27</v>
      </c>
      <c r="L76" s="155">
        <v>393</v>
      </c>
      <c r="M76" s="155" t="s">
        <v>72</v>
      </c>
      <c r="N76" s="155"/>
      <c r="O76" s="155"/>
      <c r="P76" s="155"/>
      <c r="Q76" s="155"/>
      <c r="R76" s="155"/>
      <c r="S76" s="134">
        <v>60884.82</v>
      </c>
    </row>
    <row r="77" spans="1:21" ht="12" customHeight="1" x14ac:dyDescent="0.2">
      <c r="B77" s="155" t="s">
        <v>23</v>
      </c>
      <c r="C77" s="133"/>
      <c r="D77" s="155"/>
      <c r="E77" s="133"/>
      <c r="F77" s="133"/>
      <c r="G77" s="133" t="s">
        <v>70</v>
      </c>
      <c r="H77" s="133" t="s">
        <v>44</v>
      </c>
      <c r="I77" s="133" t="s">
        <v>45</v>
      </c>
      <c r="J77" s="155">
        <v>341</v>
      </c>
      <c r="K77" s="155" t="s">
        <v>27</v>
      </c>
      <c r="L77" s="155">
        <v>393</v>
      </c>
      <c r="M77" s="155" t="s">
        <v>72</v>
      </c>
      <c r="N77" s="155"/>
      <c r="O77" s="155"/>
      <c r="P77" s="155"/>
      <c r="Q77" s="155"/>
      <c r="R77" s="155"/>
      <c r="S77" s="134">
        <f>S71-S72-S73-S74-S76</f>
        <v>2080209.0463164777</v>
      </c>
    </row>
    <row r="78" spans="1:21" ht="12" customHeight="1" x14ac:dyDescent="0.3">
      <c r="B78" s="126" t="s">
        <v>21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27"/>
      <c r="Q78" s="154"/>
      <c r="R78" s="154"/>
      <c r="S78" s="130">
        <f>S77+S76+S74+S73+S72-S71</f>
        <v>0</v>
      </c>
    </row>
    <row r="79" spans="1:21" ht="12" customHeight="1" x14ac:dyDescent="0.2">
      <c r="S79" s="4">
        <f>S77+S66</f>
        <v>4158981.3370142826</v>
      </c>
    </row>
  </sheetData>
  <mergeCells count="21">
    <mergeCell ref="J74:M74"/>
    <mergeCell ref="J75:M75"/>
    <mergeCell ref="J63:M63"/>
    <mergeCell ref="J64:M64"/>
    <mergeCell ref="J25:M25"/>
    <mergeCell ref="J26:M26"/>
    <mergeCell ref="J27:M27"/>
    <mergeCell ref="J29:M29"/>
    <mergeCell ref="J30:M30"/>
    <mergeCell ref="J31:M31"/>
    <mergeCell ref="J42:M42"/>
    <mergeCell ref="J43:M43"/>
    <mergeCell ref="J52:M52"/>
    <mergeCell ref="J53:M53"/>
    <mergeCell ref="J24:M24"/>
    <mergeCell ref="J23:M23"/>
    <mergeCell ref="D2:G3"/>
    <mergeCell ref="B6:S6"/>
    <mergeCell ref="J20:M20"/>
    <mergeCell ref="J21:M21"/>
    <mergeCell ref="J22:M22"/>
  </mergeCells>
  <dataValidations count="1">
    <dataValidation type="list" allowBlank="1" showInputMessage="1" showErrorMessage="1" sqref="B27:B35 B12:B25 B43:B45" xr:uid="{50D20395-45F6-45AA-AF37-AE39EABAE60D}">
      <formula1>$X$31:$X$36</formula1>
    </dataValidation>
  </dataValidations>
  <printOptions horizontalCentered="1" verticalCentered="1"/>
  <pageMargins left="0.11811023622047245" right="0.11811023622047245" top="0.39370078740157483" bottom="0.39370078740157483" header="0" footer="0"/>
  <pageSetup paperSize="9" scale="37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9DB16-DDA8-4FB6-A203-97FB3B774D83}">
          <x14:formula1>
            <xm:f>'Z:\1_Negocios\3_Gestao\2_CRI\CRI_S218_219_A&amp;C Lima\2_Estruturacao\7_Liquidacao\3_Mapa de Liquidação\[20190606_CRI_S218_219_A&amp;CLima_Mapa_Liquidação.xlsx]Referencias'!#REF!</xm:f>
          </x14:formula1>
          <xm:sqref>B36 B26 X31:X36 B8:B11 B46 B38:B42 X44:X46 X48:X56 X58:X67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565C418707D4AA9D5B20100C39FAD" ma:contentTypeVersion="13" ma:contentTypeDescription="Crie um novo documento." ma:contentTypeScope="" ma:versionID="57b720f961935729ee5bfb3f7b3b745e">
  <xsd:schema xmlns:xsd="http://www.w3.org/2001/XMLSchema" xmlns:xs="http://www.w3.org/2001/XMLSchema" xmlns:p="http://schemas.microsoft.com/office/2006/metadata/properties" xmlns:ns2="90be1033-61d5-46ad-ae3a-53f0d5f2e6d6" xmlns:ns3="bb6cd9ea-a165-46c7-8046-7d231703d635" targetNamespace="http://schemas.microsoft.com/office/2006/metadata/properties" ma:root="true" ma:fieldsID="3e4c59b9b2339eeb247f9c7769569ba7" ns2:_="" ns3:_="">
    <xsd:import namespace="90be1033-61d5-46ad-ae3a-53f0d5f2e6d6"/>
    <xsd:import namespace="bb6cd9ea-a165-46c7-8046-7d231703d6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e1033-61d5-46ad-ae3a-53f0d5f2e6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d9ea-a165-46c7-8046-7d231703d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0be1033-61d5-46ad-ae3a-53f0d5f2e6d6">XYRVYRS7NR3H-414051584-592671</_dlc_DocId>
    <_dlc_DocIdUrl xmlns="90be1033-61d5-46ad-ae3a-53f0d5f2e6d6">
      <Url>https://contatofortesec.sharepoint.com/sites/Gestao/_layouts/15/DocIdRedir.aspx?ID=XYRVYRS7NR3H-414051584-592671</Url>
      <Description>XYRVYRS7NR3H-414051584-592671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4D50A4-04D8-4227-990D-B0B35DDF3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411EF1-865E-4CD1-B28A-CDA62DD85B2C}"/>
</file>

<file path=customXml/itemProps3.xml><?xml version="1.0" encoding="utf-8"?>
<ds:datastoreItem xmlns:ds="http://schemas.openxmlformats.org/officeDocument/2006/customXml" ds:itemID="{21AD4E67-D5A7-4D47-A10A-422842B7A8EC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sharepoint/v3"/>
    <ds:schemaRef ds:uri="9dee0a48-fc0c-418b-95fb-08cb8e59e960"/>
    <ds:schemaRef ds:uri="90be1033-61d5-46ad-ae3a-53f0d5f2e6d6"/>
  </ds:schemaRefs>
</ds:datastoreItem>
</file>

<file path=customXml/itemProps4.xml><?xml version="1.0" encoding="utf-8"?>
<ds:datastoreItem xmlns:ds="http://schemas.openxmlformats.org/officeDocument/2006/customXml" ds:itemID="{C6C39D00-EA9A-40CB-B9D3-83C9CDAAE3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Relatório Liquidação</vt:lpstr>
      <vt:lpstr>'Relatório Liquidação'!Print_Area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Dantas</dc:creator>
  <cp:lastModifiedBy>William Alvarenga</cp:lastModifiedBy>
  <cp:lastPrinted>2019-08-08T14:55:28Z</cp:lastPrinted>
  <dcterms:created xsi:type="dcterms:W3CDTF">2019-07-17T12:29:36Z</dcterms:created>
  <dcterms:modified xsi:type="dcterms:W3CDTF">2021-06-29T13:37:12Z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0x010100252565C418707D4AA9D5B20100C39FAD</vt:lpwstr>
  </property>
  <property fmtid="{D5CDD505-2E9C-101B-9397-08002B2CF9AE}" pid="3" name="Order">
    <vt:r8>10553400</vt:r8>
  </property>
  <property fmtid="{D5CDD505-2E9C-101B-9397-08002B2CF9AE}" pid="4" name="_dlc_DocIdItemGuid">
    <vt:lpwstr>21678cf3-86e2-4e8b-9502-ff02d7114634</vt:lpwstr>
  </property>
</Properties>
</file>