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EMPRESAS\BANCO JP MORGAN\SRC SECURITIZADORA - STONE\Raiz\Envio de Informações\Relatorios Diarios\"/>
    </mc:Choice>
  </mc:AlternateContent>
  <xr:revisionPtr revIDLastSave="0" documentId="13_ncr:1_{F8A05CDC-CA6B-44FC-BA11-2C9493B749D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sumo" sheetId="3" r:id="rId1"/>
    <sheet name="Direitos Creditórios" sheetId="2" r:id="rId2"/>
    <sheet name="Resolução de Cessão" sheetId="1" r:id="rId3"/>
    <sheet name="Projeção de Despesas" sheetId="4" r:id="rId4"/>
    <sheet name="Pagamento Estimado" sheetId="5" r:id="rId5"/>
    <sheet name="Feriados" sheetId="6" r:id="rId6"/>
  </sheets>
  <definedNames>
    <definedName name="_xlnm._FilterDatabase" localSheetId="1" hidden="1">'Direitos Creditórios'!$A$1:$B$1</definedName>
    <definedName name="_xlnm._FilterDatabase" localSheetId="0" hidden="1">Resumo!$B$31:$D$205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3" l="1"/>
  <c r="F28" i="3" s="1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32" i="3"/>
  <c r="Q28" i="3"/>
  <c r="H28" i="3"/>
  <c r="N28" i="3" l="1"/>
  <c r="L28" i="3"/>
  <c r="C171" i="3"/>
  <c r="E171" i="3"/>
  <c r="F171" i="3" s="1"/>
  <c r="C172" i="3"/>
  <c r="E172" i="3"/>
  <c r="F172" i="3" s="1"/>
  <c r="C173" i="3"/>
  <c r="E173" i="3"/>
  <c r="F173" i="3" s="1"/>
  <c r="C174" i="3"/>
  <c r="E174" i="3"/>
  <c r="F174" i="3" s="1"/>
  <c r="C175" i="3"/>
  <c r="E175" i="3"/>
  <c r="F175" i="3" s="1"/>
  <c r="C176" i="3"/>
  <c r="E176" i="3"/>
  <c r="F176" i="3" s="1"/>
  <c r="C177" i="3"/>
  <c r="E177" i="3"/>
  <c r="F177" i="3" s="1"/>
  <c r="C178" i="3"/>
  <c r="E178" i="3"/>
  <c r="F178" i="3" s="1"/>
  <c r="C179" i="3"/>
  <c r="E179" i="3"/>
  <c r="F179" i="3" s="1"/>
  <c r="C180" i="3"/>
  <c r="E180" i="3"/>
  <c r="F180" i="3" s="1"/>
  <c r="C181" i="3"/>
  <c r="E181" i="3"/>
  <c r="F181" i="3" s="1"/>
  <c r="C182" i="3"/>
  <c r="E182" i="3"/>
  <c r="F182" i="3" s="1"/>
  <c r="C183" i="3"/>
  <c r="E183" i="3"/>
  <c r="F183" i="3" s="1"/>
  <c r="C184" i="3"/>
  <c r="E184" i="3"/>
  <c r="F184" i="3" s="1"/>
  <c r="C185" i="3"/>
  <c r="E185" i="3"/>
  <c r="F185" i="3" s="1"/>
  <c r="C186" i="3"/>
  <c r="E186" i="3"/>
  <c r="F186" i="3" s="1"/>
  <c r="C187" i="3"/>
  <c r="E187" i="3"/>
  <c r="F187" i="3" s="1"/>
  <c r="C188" i="3"/>
  <c r="E188" i="3"/>
  <c r="F188" i="3" s="1"/>
  <c r="C189" i="3"/>
  <c r="E189" i="3"/>
  <c r="F189" i="3" s="1"/>
  <c r="C190" i="3"/>
  <c r="E190" i="3"/>
  <c r="F190" i="3" s="1"/>
  <c r="C191" i="3"/>
  <c r="E191" i="3"/>
  <c r="F191" i="3" s="1"/>
  <c r="C192" i="3"/>
  <c r="E192" i="3"/>
  <c r="F192" i="3" s="1"/>
  <c r="C193" i="3"/>
  <c r="E193" i="3"/>
  <c r="F193" i="3" s="1"/>
  <c r="C194" i="3"/>
  <c r="E194" i="3"/>
  <c r="F194" i="3" s="1"/>
  <c r="C195" i="3"/>
  <c r="E195" i="3"/>
  <c r="F195" i="3" s="1"/>
  <c r="C196" i="3"/>
  <c r="E196" i="3"/>
  <c r="F196" i="3" s="1"/>
  <c r="C197" i="3"/>
  <c r="E197" i="3"/>
  <c r="F197" i="3" s="1"/>
  <c r="C198" i="3"/>
  <c r="E198" i="3"/>
  <c r="F198" i="3" s="1"/>
  <c r="C199" i="3"/>
  <c r="E199" i="3"/>
  <c r="F199" i="3" s="1"/>
  <c r="C200" i="3"/>
  <c r="E200" i="3"/>
  <c r="F200" i="3" s="1"/>
  <c r="C201" i="3"/>
  <c r="E201" i="3"/>
  <c r="F201" i="3" s="1"/>
  <c r="C202" i="3"/>
  <c r="E202" i="3"/>
  <c r="F202" i="3" s="1"/>
  <c r="C203" i="3"/>
  <c r="E203" i="3"/>
  <c r="F203" i="3" s="1"/>
  <c r="C204" i="3"/>
  <c r="E204" i="3"/>
  <c r="F204" i="3" s="1"/>
  <c r="C205" i="3"/>
  <c r="E205" i="3"/>
  <c r="F205" i="3" s="1"/>
  <c r="C159" i="3"/>
  <c r="E159" i="3"/>
  <c r="F159" i="3" s="1"/>
  <c r="C160" i="3"/>
  <c r="E160" i="3"/>
  <c r="F160" i="3" s="1"/>
  <c r="C161" i="3"/>
  <c r="E161" i="3"/>
  <c r="F161" i="3" s="1"/>
  <c r="C162" i="3"/>
  <c r="E162" i="3"/>
  <c r="F162" i="3" s="1"/>
  <c r="C163" i="3"/>
  <c r="E163" i="3"/>
  <c r="F163" i="3" s="1"/>
  <c r="C164" i="3"/>
  <c r="E164" i="3"/>
  <c r="F164" i="3" s="1"/>
  <c r="C165" i="3"/>
  <c r="E165" i="3"/>
  <c r="F165" i="3" s="1"/>
  <c r="C166" i="3"/>
  <c r="E166" i="3"/>
  <c r="F166" i="3" s="1"/>
  <c r="C167" i="3"/>
  <c r="E167" i="3"/>
  <c r="F167" i="3" s="1"/>
  <c r="C168" i="3"/>
  <c r="E168" i="3"/>
  <c r="F168" i="3" s="1"/>
  <c r="C169" i="3"/>
  <c r="E169" i="3"/>
  <c r="F169" i="3" s="1"/>
  <c r="C170" i="3"/>
  <c r="E170" i="3"/>
  <c r="F170" i="3" s="1"/>
  <c r="C139" i="3"/>
  <c r="E139" i="3"/>
  <c r="F139" i="3" s="1"/>
  <c r="C140" i="3"/>
  <c r="E140" i="3"/>
  <c r="F140" i="3" s="1"/>
  <c r="C141" i="3"/>
  <c r="E141" i="3"/>
  <c r="F141" i="3" s="1"/>
  <c r="C142" i="3"/>
  <c r="E142" i="3"/>
  <c r="F142" i="3" s="1"/>
  <c r="C143" i="3"/>
  <c r="E143" i="3"/>
  <c r="F143" i="3" s="1"/>
  <c r="C144" i="3"/>
  <c r="E144" i="3"/>
  <c r="F144" i="3" s="1"/>
  <c r="C145" i="3"/>
  <c r="E145" i="3"/>
  <c r="F145" i="3" s="1"/>
  <c r="C146" i="3"/>
  <c r="E146" i="3"/>
  <c r="F146" i="3" s="1"/>
  <c r="C147" i="3"/>
  <c r="E147" i="3"/>
  <c r="F147" i="3" s="1"/>
  <c r="C148" i="3"/>
  <c r="E148" i="3"/>
  <c r="F148" i="3" s="1"/>
  <c r="C149" i="3"/>
  <c r="E149" i="3"/>
  <c r="F149" i="3" s="1"/>
  <c r="C150" i="3"/>
  <c r="E150" i="3"/>
  <c r="F150" i="3" s="1"/>
  <c r="C151" i="3"/>
  <c r="E151" i="3"/>
  <c r="F151" i="3" s="1"/>
  <c r="C152" i="3"/>
  <c r="E152" i="3"/>
  <c r="F152" i="3" s="1"/>
  <c r="C153" i="3"/>
  <c r="E153" i="3"/>
  <c r="F153" i="3" s="1"/>
  <c r="C154" i="3"/>
  <c r="E154" i="3"/>
  <c r="F154" i="3" s="1"/>
  <c r="C155" i="3"/>
  <c r="E155" i="3"/>
  <c r="F155" i="3" s="1"/>
  <c r="C156" i="3"/>
  <c r="E156" i="3"/>
  <c r="F156" i="3" s="1"/>
  <c r="C157" i="3"/>
  <c r="E157" i="3"/>
  <c r="F157" i="3" s="1"/>
  <c r="C158" i="3"/>
  <c r="E158" i="3"/>
  <c r="F158" i="3" s="1"/>
  <c r="C124" i="3"/>
  <c r="E124" i="3"/>
  <c r="F124" i="3" s="1"/>
  <c r="C125" i="3"/>
  <c r="E125" i="3"/>
  <c r="F125" i="3" s="1"/>
  <c r="C126" i="3"/>
  <c r="E126" i="3"/>
  <c r="F126" i="3" s="1"/>
  <c r="C127" i="3"/>
  <c r="E127" i="3"/>
  <c r="F127" i="3" s="1"/>
  <c r="C128" i="3"/>
  <c r="E128" i="3"/>
  <c r="F128" i="3" s="1"/>
  <c r="C129" i="3"/>
  <c r="E129" i="3"/>
  <c r="F129" i="3" s="1"/>
  <c r="C130" i="3"/>
  <c r="E130" i="3"/>
  <c r="F130" i="3" s="1"/>
  <c r="C131" i="3"/>
  <c r="E131" i="3"/>
  <c r="F131" i="3" s="1"/>
  <c r="C132" i="3"/>
  <c r="E132" i="3"/>
  <c r="F132" i="3" s="1"/>
  <c r="C133" i="3"/>
  <c r="E133" i="3"/>
  <c r="F133" i="3" s="1"/>
  <c r="C134" i="3"/>
  <c r="E134" i="3"/>
  <c r="F134" i="3" s="1"/>
  <c r="C135" i="3"/>
  <c r="E135" i="3"/>
  <c r="F135" i="3" s="1"/>
  <c r="C136" i="3"/>
  <c r="E136" i="3"/>
  <c r="F136" i="3" s="1"/>
  <c r="C137" i="3"/>
  <c r="E137" i="3"/>
  <c r="F137" i="3" s="1"/>
  <c r="C138" i="3"/>
  <c r="E138" i="3"/>
  <c r="F138" i="3" s="1"/>
  <c r="C113" i="3"/>
  <c r="E113" i="3"/>
  <c r="F113" i="3" s="1"/>
  <c r="C114" i="3"/>
  <c r="E114" i="3"/>
  <c r="F114" i="3" s="1"/>
  <c r="C115" i="3"/>
  <c r="E115" i="3"/>
  <c r="F115" i="3" s="1"/>
  <c r="C116" i="3"/>
  <c r="E116" i="3"/>
  <c r="F116" i="3" s="1"/>
  <c r="C117" i="3"/>
  <c r="E117" i="3"/>
  <c r="F117" i="3" s="1"/>
  <c r="C118" i="3"/>
  <c r="E118" i="3"/>
  <c r="F118" i="3" s="1"/>
  <c r="C119" i="3"/>
  <c r="E119" i="3"/>
  <c r="F119" i="3" s="1"/>
  <c r="C120" i="3"/>
  <c r="E120" i="3"/>
  <c r="F120" i="3" s="1"/>
  <c r="C121" i="3"/>
  <c r="E121" i="3"/>
  <c r="F121" i="3" s="1"/>
  <c r="C122" i="3"/>
  <c r="E122" i="3"/>
  <c r="F122" i="3" s="1"/>
  <c r="C123" i="3"/>
  <c r="E123" i="3"/>
  <c r="F123" i="3" s="1"/>
  <c r="C106" i="3" l="1"/>
  <c r="E106" i="3"/>
  <c r="F106" i="3" s="1"/>
  <c r="C107" i="3"/>
  <c r="E107" i="3"/>
  <c r="F107" i="3" s="1"/>
  <c r="C108" i="3"/>
  <c r="E108" i="3"/>
  <c r="F108" i="3" s="1"/>
  <c r="C109" i="3"/>
  <c r="E109" i="3"/>
  <c r="F109" i="3" s="1"/>
  <c r="C110" i="3"/>
  <c r="E110" i="3"/>
  <c r="F110" i="3" s="1"/>
  <c r="C111" i="3"/>
  <c r="E111" i="3"/>
  <c r="F111" i="3" s="1"/>
  <c r="C112" i="3"/>
  <c r="E112" i="3"/>
  <c r="F112" i="3" s="1"/>
  <c r="C92" i="3"/>
  <c r="E92" i="3"/>
  <c r="F92" i="3" s="1"/>
  <c r="C93" i="3"/>
  <c r="E93" i="3"/>
  <c r="F93" i="3" s="1"/>
  <c r="C94" i="3"/>
  <c r="E94" i="3"/>
  <c r="F94" i="3" s="1"/>
  <c r="C95" i="3"/>
  <c r="E95" i="3"/>
  <c r="F95" i="3" s="1"/>
  <c r="C96" i="3"/>
  <c r="E96" i="3"/>
  <c r="F96" i="3" s="1"/>
  <c r="C97" i="3"/>
  <c r="E97" i="3"/>
  <c r="F97" i="3" s="1"/>
  <c r="C98" i="3"/>
  <c r="E98" i="3"/>
  <c r="F98" i="3" s="1"/>
  <c r="C99" i="3"/>
  <c r="E99" i="3"/>
  <c r="F99" i="3" s="1"/>
  <c r="C100" i="3"/>
  <c r="E100" i="3"/>
  <c r="F100" i="3" s="1"/>
  <c r="C101" i="3"/>
  <c r="E101" i="3"/>
  <c r="F101" i="3" s="1"/>
  <c r="C102" i="3"/>
  <c r="E102" i="3"/>
  <c r="F102" i="3" s="1"/>
  <c r="C103" i="3"/>
  <c r="E103" i="3"/>
  <c r="F103" i="3" s="1"/>
  <c r="C104" i="3"/>
  <c r="E104" i="3"/>
  <c r="F104" i="3" s="1"/>
  <c r="C105" i="3"/>
  <c r="E105" i="3"/>
  <c r="F105" i="3" s="1"/>
  <c r="C32" i="3" l="1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28" i="3" l="1"/>
  <c r="I28" i="3" s="1"/>
  <c r="M28" i="3"/>
  <c r="E72" i="3"/>
  <c r="E73" i="3"/>
  <c r="E74" i="3"/>
  <c r="E75" i="3"/>
  <c r="E76" i="3"/>
  <c r="E77" i="3"/>
  <c r="E78" i="3"/>
  <c r="E79" i="3"/>
  <c r="E80" i="3"/>
  <c r="F80" i="3" s="1"/>
  <c r="E81" i="3"/>
  <c r="F81" i="3" s="1"/>
  <c r="E82" i="3"/>
  <c r="F82" i="3" s="1"/>
  <c r="E83" i="3"/>
  <c r="F83" i="3" s="1"/>
  <c r="E84" i="3"/>
  <c r="F84" i="3" s="1"/>
  <c r="E85" i="3"/>
  <c r="F85" i="3" s="1"/>
  <c r="E86" i="3"/>
  <c r="F86" i="3" s="1"/>
  <c r="E87" i="3"/>
  <c r="F87" i="3" s="1"/>
  <c r="E88" i="3"/>
  <c r="F88" i="3" s="1"/>
  <c r="E89" i="3"/>
  <c r="F89" i="3" s="1"/>
  <c r="E90" i="3"/>
  <c r="F90" i="3" s="1"/>
  <c r="E91" i="3"/>
  <c r="F91" i="3" s="1"/>
  <c r="F73" i="3"/>
  <c r="F74" i="3"/>
  <c r="F75" i="3"/>
  <c r="F76" i="3"/>
  <c r="F77" i="3"/>
  <c r="F78" i="3"/>
  <c r="F79" i="3"/>
  <c r="F72" i="3"/>
  <c r="E69" i="3"/>
  <c r="F69" i="3" s="1"/>
  <c r="E32" i="3"/>
  <c r="F32" i="3" s="1"/>
  <c r="E33" i="3"/>
  <c r="F33" i="3" s="1"/>
  <c r="E34" i="3"/>
  <c r="F34" i="3" s="1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E41" i="3"/>
  <c r="F41" i="3" s="1"/>
  <c r="E42" i="3"/>
  <c r="F42" i="3" s="1"/>
  <c r="E43" i="3"/>
  <c r="F43" i="3" s="1"/>
  <c r="E44" i="3"/>
  <c r="F44" i="3" s="1"/>
  <c r="E45" i="3"/>
  <c r="F45" i="3" s="1"/>
  <c r="E46" i="3"/>
  <c r="F46" i="3" s="1"/>
  <c r="E47" i="3"/>
  <c r="F47" i="3" s="1"/>
  <c r="E48" i="3"/>
  <c r="F48" i="3" s="1"/>
  <c r="E49" i="3"/>
  <c r="F49" i="3" s="1"/>
  <c r="E50" i="3"/>
  <c r="F50" i="3" s="1"/>
  <c r="E51" i="3"/>
  <c r="F51" i="3" s="1"/>
  <c r="E52" i="3"/>
  <c r="F52" i="3" s="1"/>
  <c r="E53" i="3"/>
  <c r="F53" i="3" s="1"/>
  <c r="E54" i="3"/>
  <c r="F54" i="3" s="1"/>
  <c r="E55" i="3"/>
  <c r="F55" i="3" s="1"/>
  <c r="E56" i="3"/>
  <c r="F56" i="3" s="1"/>
  <c r="E57" i="3"/>
  <c r="F57" i="3" s="1"/>
  <c r="E58" i="3"/>
  <c r="F58" i="3" s="1"/>
  <c r="E59" i="3"/>
  <c r="F59" i="3" s="1"/>
  <c r="E60" i="3"/>
  <c r="F60" i="3" s="1"/>
  <c r="E61" i="3"/>
  <c r="F61" i="3" s="1"/>
  <c r="E62" i="3"/>
  <c r="F62" i="3" s="1"/>
  <c r="E63" i="3"/>
  <c r="F63" i="3" s="1"/>
  <c r="E64" i="3"/>
  <c r="F64" i="3" s="1"/>
  <c r="E65" i="3"/>
  <c r="F65" i="3" s="1"/>
  <c r="E66" i="3"/>
  <c r="F66" i="3" s="1"/>
  <c r="E67" i="3"/>
  <c r="F67" i="3" s="1"/>
  <c r="E68" i="3"/>
  <c r="F68" i="3" s="1"/>
  <c r="E70" i="3"/>
  <c r="F70" i="3" s="1"/>
  <c r="E71" i="3"/>
  <c r="F71" i="3" s="1"/>
  <c r="P28" i="3" l="1"/>
  <c r="R28" i="3" s="1"/>
  <c r="T28" i="3" s="1"/>
  <c r="K28" i="3"/>
  <c r="C8" i="5"/>
  <c r="C11" i="5" s="1"/>
  <c r="C15" i="5" s="1"/>
  <c r="C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Ferreira</author>
    <author>Ricardo Lucas</author>
  </authors>
  <commentList>
    <comment ref="D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Ricardo Ferreira:</t>
        </r>
        <r>
          <rPr>
            <sz val="9"/>
            <color indexed="81"/>
            <rFont val="Segoe UI"/>
            <family val="2"/>
          </rPr>
          <t xml:space="preserve">
Abertura do dia seguinte</t>
        </r>
      </text>
    </comment>
    <comment ref="E3" authorId="0" shapeId="0" xr:uid="{0589448F-5B80-4273-BD20-06915A52A621}">
      <text>
        <r>
          <rPr>
            <b/>
            <sz val="9"/>
            <color indexed="81"/>
            <rFont val="Segoe UI"/>
            <family val="2"/>
          </rPr>
          <t>Ricardo Ferreira:</t>
        </r>
        <r>
          <rPr>
            <sz val="9"/>
            <color indexed="81"/>
            <rFont val="Segoe UI"/>
            <family val="2"/>
          </rPr>
          <t xml:space="preserve">
Saldo do dia anterior
</t>
        </r>
      </text>
    </comment>
    <comment ref="F3" authorId="1" shapeId="0" xr:uid="{7C7161CD-44AD-4F07-9168-E962A6B9C378}">
      <text>
        <r>
          <rPr>
            <sz val="9"/>
            <color indexed="81"/>
            <rFont val="Segoe UI"/>
            <family val="2"/>
          </rPr>
          <t>A partir de 18/10/2021 a alíquota do Cofins passou de 3% para 4%, motivo pelo qual o percentual total do gross que era de 37,65% passou a ser de 38,65%.</t>
        </r>
      </text>
    </comment>
  </commentList>
</comments>
</file>

<file path=xl/sharedStrings.xml><?xml version="1.0" encoding="utf-8"?>
<sst xmlns="http://schemas.openxmlformats.org/spreadsheetml/2006/main" count="157" uniqueCount="105">
  <si>
    <t>Data de pagamento</t>
  </si>
  <si>
    <t>Vencimento</t>
  </si>
  <si>
    <t>Valor</t>
  </si>
  <si>
    <t>Saldo Conta Autorizada</t>
  </si>
  <si>
    <t>Saldo Devedor das Debêntures</t>
  </si>
  <si>
    <t>Razão Atingida</t>
  </si>
  <si>
    <t>Razão de Direitos Creditórios</t>
  </si>
  <si>
    <t>Status</t>
  </si>
  <si>
    <t>Direitos Creditórios Objetos de Resolução de Cessão</t>
  </si>
  <si>
    <t>Percentual Atingido</t>
  </si>
  <si>
    <t>Percentual Máximo Permitido</t>
  </si>
  <si>
    <t>Índice de Resolução de Cessão</t>
  </si>
  <si>
    <t>Faixa de Vencimento</t>
  </si>
  <si>
    <t>Prazo Médio</t>
  </si>
  <si>
    <t>Prazo Máximo</t>
  </si>
  <si>
    <t>Prazo</t>
  </si>
  <si>
    <t>Prazo Mínimo</t>
  </si>
  <si>
    <t>Valor Presente dos Direitos Creditórios</t>
  </si>
  <si>
    <t>Data de Vencimento</t>
  </si>
  <si>
    <t>Data de Verificação</t>
  </si>
  <si>
    <t xml:space="preserve"> Valor </t>
  </si>
  <si>
    <t>Remuneração pela Reserva de  Disponibilidade de Recursos</t>
  </si>
  <si>
    <t>Projeção de Despesas</t>
  </si>
  <si>
    <t>OK</t>
  </si>
  <si>
    <t>DESPESA</t>
  </si>
  <si>
    <t>B3 S.A.- BRASIL, BOLSA, BALCAO</t>
  </si>
  <si>
    <t>BDO RCS AUDITORES INDEPEDENTES</t>
  </si>
  <si>
    <t>CDT-SP (REGISTRO)</t>
  </si>
  <si>
    <t>RTD-RJ</t>
  </si>
  <si>
    <t>INSTITUTO NACIONAL DO SEGURO SOCIAL</t>
  </si>
  <si>
    <t>KPMG CORPORATE FINANCE LTDA</t>
  </si>
  <si>
    <t>PREFEITURA DA CIDADE DE SAO PAULO</t>
  </si>
  <si>
    <t>PIS/COFINS</t>
  </si>
  <si>
    <t>SECRETARIA DA FAZENDA DO ESTADO DE SAO PAULO</t>
  </si>
  <si>
    <t>SIMPLIFIC PAVARINI DISTRIBUIDORA DE TITULOS E VALORES MOBIL</t>
  </si>
  <si>
    <t xml:space="preserve">Data </t>
  </si>
  <si>
    <t>1ª Emissão Debêntures SRC</t>
  </si>
  <si>
    <r>
      <t>Período de Cálculo</t>
    </r>
    <r>
      <rPr>
        <sz val="10"/>
        <rFont val="Tahoma"/>
        <family val="2"/>
      </rPr>
      <t>:</t>
    </r>
  </si>
  <si>
    <t>Data inicial (inc)</t>
  </si>
  <si>
    <t>Data final (ex)</t>
  </si>
  <si>
    <t>Dias Úteis</t>
  </si>
  <si>
    <t xml:space="preserve">Saldo Devedor </t>
  </si>
  <si>
    <t>Parcela de Principal</t>
  </si>
  <si>
    <t>Juros</t>
  </si>
  <si>
    <t>Percentual</t>
  </si>
  <si>
    <t>Spread</t>
  </si>
  <si>
    <t>Valor de Pagamento</t>
  </si>
  <si>
    <t>Remuneração + Gross Up</t>
  </si>
  <si>
    <t>PROLABORE DIRETORES</t>
  </si>
  <si>
    <t>Valor de Retenção</t>
  </si>
  <si>
    <t xml:space="preserve"> 03/01/2022</t>
  </si>
  <si>
    <t xml:space="preserve"> 04/01/2022</t>
  </si>
  <si>
    <t xml:space="preserve"> 06/01/2022</t>
  </si>
  <si>
    <t xml:space="preserve"> 07/01/2022</t>
  </si>
  <si>
    <t xml:space="preserve"> 10/01/2022</t>
  </si>
  <si>
    <t xml:space="preserve"> 11/01/2022</t>
  </si>
  <si>
    <t xml:space="preserve"> 12/01/2022</t>
  </si>
  <si>
    <t xml:space="preserve"> 31/01/2022</t>
  </si>
  <si>
    <t xml:space="preserve"> 01/02/2022</t>
  </si>
  <si>
    <t xml:space="preserve"> 02/02/2022</t>
  </si>
  <si>
    <t xml:space="preserve"> 21/02/2022</t>
  </si>
  <si>
    <t xml:space="preserve"> 22/02/2022</t>
  </si>
  <si>
    <t xml:space="preserve"> 23/02/2022</t>
  </si>
  <si>
    <t xml:space="preserve"> 24/02/2022</t>
  </si>
  <si>
    <t xml:space="preserve"> 25/02/2022</t>
  </si>
  <si>
    <t xml:space="preserve"> 02/03/2022</t>
  </si>
  <si>
    <t xml:space="preserve"> 03/03/2022</t>
  </si>
  <si>
    <t xml:space="preserve"> 04/03/2022</t>
  </si>
  <si>
    <t xml:space="preserve"> 08/03/2022</t>
  </si>
  <si>
    <t xml:space="preserve"> 09/03/2022</t>
  </si>
  <si>
    <t xml:space="preserve"> 10/03/2022</t>
  </si>
  <si>
    <t xml:space="preserve"> 14/03/2022</t>
  </si>
  <si>
    <t xml:space="preserve"> 15/03/2022</t>
  </si>
  <si>
    <t xml:space="preserve"> 21/03/2022</t>
  </si>
  <si>
    <t xml:space="preserve"> 22/03/2022</t>
  </si>
  <si>
    <t xml:space="preserve"> 23/03/2022</t>
  </si>
  <si>
    <t xml:space="preserve"> 24/03/2022</t>
  </si>
  <si>
    <t xml:space="preserve"> 25/03/2022</t>
  </si>
  <si>
    <t xml:space="preserve"> 01/04/2022</t>
  </si>
  <si>
    <t xml:space="preserve"> 31/03/2022</t>
  </si>
  <si>
    <t xml:space="preserve"> 07/03/2022</t>
  </si>
  <si>
    <t xml:space="preserve"> 28/03/2022</t>
  </si>
  <si>
    <t xml:space="preserve"> 03/02/2022</t>
  </si>
  <si>
    <t xml:space="preserve"> 07/04/2022</t>
  </si>
  <si>
    <t xml:space="preserve"> 08/04/2022</t>
  </si>
  <si>
    <t xml:space="preserve"> 11/04/2022</t>
  </si>
  <si>
    <t xml:space="preserve"> 12/04/2022</t>
  </si>
  <si>
    <t xml:space="preserve"> 07/02/2022</t>
  </si>
  <si>
    <t xml:space="preserve"> 14/04/2022</t>
  </si>
  <si>
    <t xml:space="preserve"> 13/04/2022</t>
  </si>
  <si>
    <t xml:space="preserve"> 04/04/2022</t>
  </si>
  <si>
    <t xml:space="preserve"> 05/04/2022</t>
  </si>
  <si>
    <t xml:space="preserve"> 06/04/2022</t>
  </si>
  <si>
    <t xml:space="preserve"> 19/04/2022</t>
  </si>
  <si>
    <t xml:space="preserve"> 30/03/2022</t>
  </si>
  <si>
    <t xml:space="preserve"> 18/04/2022</t>
  </si>
  <si>
    <t xml:space="preserve"> 29/03/2022</t>
  </si>
  <si>
    <t xml:space="preserve"> 09/02/2022</t>
  </si>
  <si>
    <t xml:space="preserve"> 17/03/2022</t>
  </si>
  <si>
    <t xml:space="preserve"> 18/01/2022</t>
  </si>
  <si>
    <t xml:space="preserve"> 10/02/2022</t>
  </si>
  <si>
    <t xml:space="preserve"> 15/02/2022</t>
  </si>
  <si>
    <t xml:space="preserve"> 16/02/2022</t>
  </si>
  <si>
    <t xml:space="preserve"> 05/01/2022</t>
  </si>
  <si>
    <t xml:space="preserve"> 14/02/2022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</si>
</sst>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00%"/>
    <numFmt numFmtId="166" formatCode="_(&quot;R$ &quot;* #,##0.00_);_(&quot;R$ &quot;* \(#,##0.00\);_(&quot;R$ &quot;* &quot;-&quot;??_);_(@_)"/>
    <numFmt numFmtId="167" formatCode="General_)"/>
    <numFmt numFmtId="168" formatCode="dd\-mmm\-yy"/>
    <numFmt numFmtId="169" formatCode="0.0000%"/>
    <numFmt numFmtId="170" formatCode="[$-409]d\-mmm\-yy;@"/>
    <numFmt numFmtId="171" formatCode="_-&quot;R$&quot;\ * #,##0.000000000_-;\-&quot;R$&quot;\ * #,##0.000000000_-;_-&quot;R$&quot;\ * &quot;-&quot;??_-;_-@_-"/>
    <numFmt numFmtId="172" formatCode="_-[$R$-416]\ * #,##0.00_-;\-[$R$-416]\ * #,##0.00_-;_-[$R$-416]\ 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color indexed="9"/>
      <name val="Tahoma"/>
      <family val="2"/>
    </font>
    <font>
      <sz val="10"/>
      <name val="Tahoma"/>
      <family val="2"/>
    </font>
    <font>
      <u/>
      <sz val="10"/>
      <name val="Tahoma"/>
      <family val="2"/>
    </font>
    <font>
      <b/>
      <u/>
      <sz val="10"/>
      <name val="Tahoma"/>
      <family val="2"/>
    </font>
    <font>
      <i/>
      <sz val="10"/>
      <name val="Tahoma"/>
      <family val="2"/>
    </font>
    <font>
      <i/>
      <sz val="9"/>
      <name val="Tahoma"/>
      <family val="2"/>
    </font>
    <font>
      <b/>
      <u/>
      <sz val="10"/>
      <color indexed="9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168" fontId="26" fillId="0" borderId="0">
      <alignment horizontal="center" vertical="center"/>
    </xf>
    <xf numFmtId="9" fontId="19" fillId="0" borderId="0" applyFont="0" applyFill="0" applyBorder="0" applyAlignment="0" applyProtection="0"/>
    <xf numFmtId="167" fontId="25" fillId="0" borderId="0" applyNumberFormat="0" applyAlignment="0">
      <alignment horizontal="center"/>
    </xf>
    <xf numFmtId="166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</cellStyleXfs>
  <cellXfs count="73">
    <xf numFmtId="0" fontId="0" fillId="0" borderId="0" xfId="0"/>
    <xf numFmtId="9" fontId="0" fillId="0" borderId="0" xfId="0" applyNumberFormat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0" fontId="18" fillId="0" borderId="0" xfId="0" applyFont="1"/>
    <xf numFmtId="0" fontId="21" fillId="0" borderId="0" xfId="0" applyFont="1"/>
    <xf numFmtId="164" fontId="22" fillId="0" borderId="10" xfId="1" applyFont="1" applyBorder="1"/>
    <xf numFmtId="0" fontId="22" fillId="0" borderId="10" xfId="0" applyFont="1" applyBorder="1" applyAlignment="1">
      <alignment horizontal="center"/>
    </xf>
    <xf numFmtId="164" fontId="22" fillId="0" borderId="0" xfId="1" applyFont="1"/>
    <xf numFmtId="0" fontId="22" fillId="0" borderId="0" xfId="0" applyFont="1"/>
    <xf numFmtId="164" fontId="22" fillId="0" borderId="10" xfId="1" applyFont="1" applyBorder="1" applyAlignment="1">
      <alignment horizontal="center"/>
    </xf>
    <xf numFmtId="165" fontId="22" fillId="0" borderId="10" xfId="2" applyNumberFormat="1" applyFont="1" applyBorder="1" applyAlignment="1">
      <alignment horizontal="center"/>
    </xf>
    <xf numFmtId="9" fontId="22" fillId="0" borderId="10" xfId="0" applyNumberFormat="1" applyFont="1" applyBorder="1" applyAlignment="1">
      <alignment horizontal="center"/>
    </xf>
    <xf numFmtId="14" fontId="22" fillId="0" borderId="10" xfId="0" applyNumberFormat="1" applyFont="1" applyBorder="1"/>
    <xf numFmtId="14" fontId="19" fillId="0" borderId="10" xfId="44" applyNumberFormat="1" applyBorder="1" applyAlignment="1">
      <alignment horizontal="center"/>
    </xf>
    <xf numFmtId="4" fontId="0" fillId="0" borderId="0" xfId="0" applyNumberFormat="1"/>
    <xf numFmtId="1" fontId="22" fillId="0" borderId="10" xfId="0" applyNumberFormat="1" applyFont="1" applyBorder="1" applyAlignment="1">
      <alignment horizontal="center"/>
    </xf>
    <xf numFmtId="164" fontId="22" fillId="0" borderId="10" xfId="1" applyFont="1" applyFill="1" applyBorder="1"/>
    <xf numFmtId="44" fontId="0" fillId="0" borderId="0" xfId="0" applyNumberFormat="1"/>
    <xf numFmtId="0" fontId="20" fillId="33" borderId="10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0" fillId="0" borderId="0" xfId="0" applyFill="1"/>
    <xf numFmtId="14" fontId="19" fillId="0" borderId="0" xfId="44" applyNumberFormat="1" applyBorder="1" applyAlignment="1">
      <alignment horizontal="center"/>
    </xf>
    <xf numFmtId="164" fontId="22" fillId="0" borderId="0" xfId="1" applyFont="1" applyFill="1" applyBorder="1"/>
    <xf numFmtId="164" fontId="22" fillId="0" borderId="0" xfId="1" applyFont="1" applyBorder="1"/>
    <xf numFmtId="10" fontId="22" fillId="0" borderId="0" xfId="2" applyNumberFormat="1" applyFont="1" applyBorder="1"/>
    <xf numFmtId="0" fontId="22" fillId="0" borderId="0" xfId="0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64" fontId="22" fillId="0" borderId="0" xfId="1" applyFont="1" applyBorder="1" applyAlignment="1">
      <alignment horizontal="center"/>
    </xf>
    <xf numFmtId="165" fontId="22" fillId="0" borderId="0" xfId="2" applyNumberFormat="1" applyFont="1" applyBorder="1" applyAlignment="1">
      <alignment horizontal="center"/>
    </xf>
    <xf numFmtId="9" fontId="22" fillId="0" borderId="0" xfId="0" applyNumberFormat="1" applyFont="1" applyBorder="1" applyAlignment="1">
      <alignment horizontal="center"/>
    </xf>
    <xf numFmtId="164" fontId="0" fillId="35" borderId="0" xfId="1" applyFont="1" applyFill="1"/>
    <xf numFmtId="164" fontId="16" fillId="36" borderId="0" xfId="1" applyFont="1" applyFill="1" applyAlignment="1">
      <alignment horizontal="center" vertical="center"/>
    </xf>
    <xf numFmtId="0" fontId="16" fillId="36" borderId="0" xfId="0" applyFont="1" applyFill="1" applyAlignment="1">
      <alignment horizontal="center" vertical="center"/>
    </xf>
    <xf numFmtId="164" fontId="22" fillId="37" borderId="0" xfId="1" applyFont="1" applyFill="1"/>
    <xf numFmtId="43" fontId="0" fillId="0" borderId="0" xfId="45" applyFont="1"/>
    <xf numFmtId="164" fontId="0" fillId="0" borderId="0" xfId="0" applyNumberFormat="1"/>
    <xf numFmtId="164" fontId="0" fillId="0" borderId="0" xfId="1" applyFont="1" applyAlignment="1">
      <alignment horizontal="center" vertical="center"/>
    </xf>
    <xf numFmtId="14" fontId="22" fillId="0" borderId="0" xfId="0" applyNumberFormat="1" applyFont="1"/>
    <xf numFmtId="0" fontId="0" fillId="0" borderId="0" xfId="0"/>
    <xf numFmtId="4" fontId="0" fillId="0" borderId="0" xfId="0" applyNumberFormat="1"/>
    <xf numFmtId="43" fontId="22" fillId="0" borderId="0" xfId="45" applyFont="1" applyBorder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 vertical="center"/>
    </xf>
    <xf numFmtId="169" fontId="22" fillId="0" borderId="10" xfId="2" applyNumberFormat="1" applyFont="1" applyBorder="1" applyAlignment="1">
      <alignment horizontal="center"/>
    </xf>
    <xf numFmtId="169" fontId="22" fillId="0" borderId="10" xfId="2" applyNumberFormat="1" applyFont="1" applyBorder="1"/>
    <xf numFmtId="43" fontId="22" fillId="0" borderId="0" xfId="45" applyFont="1" applyBorder="1"/>
    <xf numFmtId="0" fontId="16" fillId="0" borderId="10" xfId="0" applyFont="1" applyBorder="1" applyAlignment="1">
      <alignment horizontal="center"/>
    </xf>
    <xf numFmtId="17" fontId="16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/>
    <xf numFmtId="43" fontId="0" fillId="0" borderId="10" xfId="45" applyFont="1" applyFill="1" applyBorder="1"/>
    <xf numFmtId="0" fontId="19" fillId="0" borderId="0" xfId="44"/>
    <xf numFmtId="14" fontId="19" fillId="0" borderId="0" xfId="44" applyNumberFormat="1"/>
    <xf numFmtId="0" fontId="27" fillId="38" borderId="0" xfId="44" applyFont="1" applyFill="1"/>
    <xf numFmtId="4" fontId="27" fillId="38" borderId="0" xfId="44" applyNumberFormat="1" applyFont="1" applyFill="1" applyAlignment="1">
      <alignment horizontal="center"/>
    </xf>
    <xf numFmtId="0" fontId="28" fillId="0" borderId="0" xfId="44" applyFont="1"/>
    <xf numFmtId="0" fontId="29" fillId="0" borderId="0" xfId="44" applyFont="1" applyAlignment="1">
      <alignment horizontal="left"/>
    </xf>
    <xf numFmtId="0" fontId="30" fillId="0" borderId="0" xfId="44" applyFont="1" applyAlignment="1">
      <alignment horizontal="right"/>
    </xf>
    <xf numFmtId="170" fontId="28" fillId="0" borderId="0" xfId="44" applyNumberFormat="1" applyFont="1"/>
    <xf numFmtId="3" fontId="31" fillId="0" borderId="0" xfId="44" applyNumberFormat="1" applyFont="1"/>
    <xf numFmtId="44" fontId="28" fillId="0" borderId="0" xfId="55" applyFont="1"/>
    <xf numFmtId="171" fontId="28" fillId="0" borderId="0" xfId="55" quotePrefix="1" applyNumberFormat="1" applyFont="1"/>
    <xf numFmtId="0" fontId="32" fillId="0" borderId="0" xfId="44" applyFont="1"/>
    <xf numFmtId="10" fontId="31" fillId="0" borderId="0" xfId="52" applyNumberFormat="1" applyFont="1"/>
    <xf numFmtId="169" fontId="31" fillId="0" borderId="0" xfId="52" applyNumberFormat="1" applyFont="1"/>
    <xf numFmtId="10" fontId="28" fillId="0" borderId="0" xfId="52" applyNumberFormat="1" applyFont="1"/>
    <xf numFmtId="172" fontId="33" fillId="38" borderId="0" xfId="45" applyNumberFormat="1" applyFont="1" applyFill="1" applyAlignment="1">
      <alignment vertical="center"/>
    </xf>
    <xf numFmtId="14" fontId="19" fillId="0" borderId="10" xfId="58" applyNumberFormat="1" applyBorder="1" applyAlignment="1">
      <alignment horizontal="center"/>
    </xf>
    <xf numFmtId="14" fontId="19" fillId="0" borderId="0" xfId="58" applyNumberFormat="1" applyAlignment="1">
      <alignment horizontal="center"/>
    </xf>
    <xf numFmtId="14" fontId="19" fillId="0" borderId="11" xfId="58" applyNumberFormat="1" applyBorder="1" applyAlignment="1">
      <alignment horizontal="center"/>
    </xf>
    <xf numFmtId="14" fontId="19" fillId="0" borderId="12" xfId="58" applyNumberFormat="1" applyBorder="1" applyAlignment="1">
      <alignment horizontal="center"/>
    </xf>
    <xf numFmtId="14" fontId="19" fillId="0" borderId="13" xfId="58" applyNumberFormat="1" applyBorder="1" applyAlignment="1">
      <alignment horizontal="center"/>
    </xf>
    <xf numFmtId="0" fontId="0" fillId="0" borderId="0" xfId="0" applyAlignment="1">
      <alignment horizontal="center"/>
    </xf>
  </cellXfs>
  <cellStyles count="59"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Ênfase1" xfId="23" builtinId="32" customBuiltin="1"/>
    <cellStyle name="60% - Ênfase2" xfId="27" builtinId="36" customBuiltin="1"/>
    <cellStyle name="60% - Ênfase3" xfId="31" builtinId="40" customBuiltin="1"/>
    <cellStyle name="60% - Ênfase4" xfId="35" builtinId="44" customBuiltin="1"/>
    <cellStyle name="60% - Ênfase5" xfId="39" builtinId="48" customBuiltin="1"/>
    <cellStyle name="60% - Ênfase6" xfId="43" builtinId="52" customBuiltin="1"/>
    <cellStyle name="Alexandre" xfId="51" xr:uid="{9CA8DD9E-D57D-4703-AF23-1FBD7FBB4A07}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Moeda" xfId="1" builtinId="4"/>
    <cellStyle name="Moeda 2" xfId="54" xr:uid="{C8B6AD4F-66E7-4525-B0FA-1961F4639291}"/>
    <cellStyle name="Moeda 3" xfId="55" xr:uid="{A2AE7DEC-7FBA-459A-87B9-D8E70496BBDE}"/>
    <cellStyle name="Neutro" xfId="10" builtinId="28" customBuiltin="1"/>
    <cellStyle name="Normal" xfId="0" builtinId="0"/>
    <cellStyle name="Normal 2" xfId="44" xr:uid="{00000000-0005-0000-0000-000021000000}"/>
    <cellStyle name="Normal 3" xfId="47" xr:uid="{DEBF9117-CE10-432E-86E5-10279A49DB3E}"/>
    <cellStyle name="Normal 4" xfId="49" xr:uid="{037B3FBC-FA09-4A5C-9B35-C50B95268B94}"/>
    <cellStyle name="Normal 4 2" xfId="57" xr:uid="{36BFBB59-EEB1-4529-9BB4-79EC27AE6342}"/>
    <cellStyle name="Normal_Feriados_Nacionais_2002_2012" xfId="58" xr:uid="{AC4EE972-A373-438C-B19E-DA22692C6D41}"/>
    <cellStyle name="Nota" xfId="17" builtinId="10" customBuiltin="1"/>
    <cellStyle name="Palavras" xfId="53" xr:uid="{DF545C15-F4AE-44CD-9B19-1D83F25DAAA4}"/>
    <cellStyle name="Porcentagem" xfId="2" builtinId="5"/>
    <cellStyle name="Porcentagem 2" xfId="52" xr:uid="{D7A294ED-49B8-4F57-BE50-EE3AE9085350}"/>
    <cellStyle name="Ruim" xfId="9" builtinId="27" customBuiltin="1"/>
    <cellStyle name="Saída" xfId="12" builtinId="21" customBuiltin="1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  <cellStyle name="Vírgula" xfId="45" builtinId="3"/>
    <cellStyle name="Vírgula 2" xfId="48" xr:uid="{47242CE0-ED03-4187-8F93-4AB659749B2C}"/>
    <cellStyle name="Vírgula 3" xfId="50" xr:uid="{27FF3F21-40B8-4C1B-8A80-B357B61FD195}"/>
    <cellStyle name="Vírgula 4" xfId="56" xr:uid="{1F77EC60-D8E4-497F-AB77-06B230EB5D8E}"/>
    <cellStyle name="Vírgula 5" xfId="46" xr:uid="{C14ECDA7-2318-497E-AA3E-2867E6EB07D1}"/>
  </cellStyles>
  <dxfs count="1">
    <dxf>
      <font>
        <color theme="4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2:U205"/>
  <sheetViews>
    <sheetView showGridLines="0" tabSelected="1"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E20" sqref="E20"/>
    </sheetView>
  </sheetViews>
  <sheetFormatPr defaultRowHeight="14.4" x14ac:dyDescent="0.3"/>
  <cols>
    <col min="1" max="1" width="4.44140625" customWidth="1"/>
    <col min="2" max="2" width="22.33203125" customWidth="1"/>
    <col min="3" max="3" width="23.44140625" bestFit="1" customWidth="1"/>
    <col min="4" max="4" width="21" customWidth="1"/>
    <col min="5" max="5" width="28.33203125" customWidth="1"/>
    <col min="6" max="6" width="28.33203125" style="38" customWidth="1"/>
    <col min="7" max="7" width="17.6640625" bestFit="1" customWidth="1"/>
    <col min="8" max="8" width="17.6640625" style="38" customWidth="1"/>
    <col min="9" max="9" width="19.33203125" bestFit="1" customWidth="1"/>
    <col min="10" max="10" width="17.6640625" bestFit="1" customWidth="1"/>
    <col min="11" max="14" width="13" customWidth="1"/>
    <col min="15" max="15" width="1.6640625" customWidth="1"/>
    <col min="16" max="16" width="24.88671875" bestFit="1" customWidth="1"/>
    <col min="17" max="17" width="22.6640625" bestFit="1" customWidth="1"/>
    <col min="18" max="18" width="13.44140625" customWidth="1"/>
    <col min="19" max="19" width="15.5546875" customWidth="1"/>
  </cols>
  <sheetData>
    <row r="2" spans="2:21" x14ac:dyDescent="0.3">
      <c r="B2" s="3" t="s">
        <v>6</v>
      </c>
      <c r="C2" s="4"/>
      <c r="D2" s="4"/>
      <c r="E2" s="4"/>
      <c r="F2" s="4"/>
      <c r="G2" s="4"/>
      <c r="H2" s="4"/>
      <c r="I2" s="4"/>
      <c r="J2" s="4"/>
      <c r="O2" s="3" t="s">
        <v>11</v>
      </c>
      <c r="P2" s="7"/>
      <c r="Q2" s="7"/>
      <c r="R2" s="7"/>
      <c r="S2" s="8"/>
    </row>
    <row r="3" spans="2:21" ht="39.75" customHeight="1" x14ac:dyDescent="0.3">
      <c r="B3" s="18" t="s">
        <v>19</v>
      </c>
      <c r="C3" s="18" t="s">
        <v>17</v>
      </c>
      <c r="D3" s="18" t="s">
        <v>3</v>
      </c>
      <c r="E3" s="18" t="s">
        <v>21</v>
      </c>
      <c r="F3" s="18" t="s">
        <v>47</v>
      </c>
      <c r="G3" s="18" t="s">
        <v>4</v>
      </c>
      <c r="H3" s="18" t="s">
        <v>22</v>
      </c>
      <c r="I3" s="18" t="s">
        <v>5</v>
      </c>
      <c r="J3" s="18" t="s">
        <v>6</v>
      </c>
      <c r="K3" s="18" t="s">
        <v>7</v>
      </c>
      <c r="L3" s="18" t="s">
        <v>16</v>
      </c>
      <c r="M3" s="18" t="s">
        <v>13</v>
      </c>
      <c r="N3" s="18" t="s">
        <v>14</v>
      </c>
      <c r="P3" s="19" t="s">
        <v>17</v>
      </c>
      <c r="Q3" s="19" t="s">
        <v>8</v>
      </c>
      <c r="R3" s="19" t="s">
        <v>9</v>
      </c>
      <c r="S3" s="19" t="s">
        <v>10</v>
      </c>
      <c r="T3" s="19" t="s">
        <v>7</v>
      </c>
    </row>
    <row r="4" spans="2:21" s="38" customFormat="1" ht="16.95" customHeight="1" x14ac:dyDescent="0.3">
      <c r="B4" s="13">
        <v>44529</v>
      </c>
      <c r="C4" s="16">
        <v>760952488.79194963</v>
      </c>
      <c r="D4" s="5">
        <v>217540.18</v>
      </c>
      <c r="E4" s="9">
        <v>1096.7741848289406</v>
      </c>
      <c r="F4" s="9">
        <v>1787.7329826062603</v>
      </c>
      <c r="G4" s="5">
        <v>761057550</v>
      </c>
      <c r="H4" s="5">
        <v>71173.603076923086</v>
      </c>
      <c r="I4" s="44">
        <v>1.0000566173638163</v>
      </c>
      <c r="J4" s="43">
        <v>1</v>
      </c>
      <c r="K4" s="6" t="s">
        <v>23</v>
      </c>
      <c r="L4" s="6">
        <v>1</v>
      </c>
      <c r="M4" s="15">
        <v>50.787594972948455</v>
      </c>
      <c r="N4" s="6">
        <v>116</v>
      </c>
      <c r="P4" s="9">
        <v>760952488.79194963</v>
      </c>
      <c r="Q4" s="9">
        <v>3888408.4899999998</v>
      </c>
      <c r="R4" s="10">
        <v>5.1099228233986646E-3</v>
      </c>
      <c r="S4" s="11">
        <v>0.02</v>
      </c>
      <c r="T4" s="11" t="s">
        <v>23</v>
      </c>
      <c r="U4" s="1"/>
    </row>
    <row r="5" spans="2:21" s="38" customFormat="1" ht="16.95" customHeight="1" x14ac:dyDescent="0.3">
      <c r="B5" s="13">
        <v>44530</v>
      </c>
      <c r="C5" s="16">
        <v>760594338.64343107</v>
      </c>
      <c r="D5" s="5">
        <v>842503.33</v>
      </c>
      <c r="E5" s="9">
        <v>315.05272116935151</v>
      </c>
      <c r="F5" s="9">
        <v>513.53336783920383</v>
      </c>
      <c r="G5" s="5">
        <v>761336067</v>
      </c>
      <c r="H5" s="5">
        <v>72909.544615384628</v>
      </c>
      <c r="I5" s="44">
        <v>1.0000372716412045</v>
      </c>
      <c r="J5" s="43">
        <v>1</v>
      </c>
      <c r="K5" s="6" t="s">
        <v>23</v>
      </c>
      <c r="L5" s="6">
        <v>1</v>
      </c>
      <c r="M5" s="15">
        <v>53.088510496879152</v>
      </c>
      <c r="N5" s="6">
        <v>115</v>
      </c>
      <c r="P5" s="9">
        <v>760594338.64343107</v>
      </c>
      <c r="Q5" s="9">
        <v>3639565.3000000003</v>
      </c>
      <c r="R5" s="10">
        <v>4.7851595983364791E-3</v>
      </c>
      <c r="S5" s="11">
        <v>0.02</v>
      </c>
      <c r="T5" s="11" t="s">
        <v>23</v>
      </c>
      <c r="U5" s="1"/>
    </row>
    <row r="6" spans="2:21" s="38" customFormat="1" ht="16.95" customHeight="1" x14ac:dyDescent="0.3">
      <c r="B6" s="13">
        <v>44531</v>
      </c>
      <c r="C6" s="16">
        <v>760878391.8495084</v>
      </c>
      <c r="D6" s="5">
        <v>842530.29</v>
      </c>
      <c r="E6" s="9">
        <v>315.18044998060276</v>
      </c>
      <c r="F6" s="9">
        <v>513.74156476055873</v>
      </c>
      <c r="G6" s="5">
        <v>761614686.75</v>
      </c>
      <c r="H6" s="5">
        <v>74645.486153846156</v>
      </c>
      <c r="I6" s="44">
        <v>1.0000421479513504</v>
      </c>
      <c r="J6" s="43">
        <v>1</v>
      </c>
      <c r="K6" s="6" t="s">
        <v>23</v>
      </c>
      <c r="L6" s="6">
        <v>1</v>
      </c>
      <c r="M6" s="15">
        <v>52.088510496997941</v>
      </c>
      <c r="N6" s="6">
        <v>114</v>
      </c>
      <c r="P6" s="9">
        <v>760878391.8495084</v>
      </c>
      <c r="Q6" s="9">
        <v>3777551.46</v>
      </c>
      <c r="R6" s="10">
        <v>4.96472432449777E-3</v>
      </c>
      <c r="S6" s="11">
        <v>0.02</v>
      </c>
      <c r="T6" s="11" t="s">
        <v>23</v>
      </c>
      <c r="U6" s="1"/>
    </row>
    <row r="7" spans="2:21" s="38" customFormat="1" ht="16.95" customHeight="1" x14ac:dyDescent="0.3">
      <c r="B7" s="13">
        <v>44532</v>
      </c>
      <c r="C7" s="16">
        <v>761789582.82873213</v>
      </c>
      <c r="D7" s="5">
        <v>215506.01</v>
      </c>
      <c r="E7" s="9">
        <v>81.12831293680739</v>
      </c>
      <c r="F7" s="9">
        <v>132.23848889455158</v>
      </c>
      <c r="G7" s="5">
        <v>761893408.5</v>
      </c>
      <c r="H7" s="5">
        <v>76381.427692307698</v>
      </c>
      <c r="I7" s="44">
        <v>1.0000464994150648</v>
      </c>
      <c r="J7" s="43">
        <v>1</v>
      </c>
      <c r="K7" s="6" t="s">
        <v>23</v>
      </c>
      <c r="L7" s="6">
        <v>1</v>
      </c>
      <c r="M7" s="15">
        <v>51.336824244099894</v>
      </c>
      <c r="N7" s="6">
        <v>120</v>
      </c>
      <c r="P7" s="9">
        <v>761789582.82873213</v>
      </c>
      <c r="Q7" s="9">
        <v>3897023.1100000008</v>
      </c>
      <c r="R7" s="10">
        <v>5.1156161725516031E-3</v>
      </c>
      <c r="S7" s="11">
        <v>0.02</v>
      </c>
      <c r="T7" s="11" t="s">
        <v>23</v>
      </c>
      <c r="U7" s="1"/>
    </row>
    <row r="8" spans="2:21" s="38" customFormat="1" ht="16.95" customHeight="1" x14ac:dyDescent="0.3">
      <c r="B8" s="13">
        <v>44533</v>
      </c>
      <c r="C8" s="16">
        <v>761977465.45318699</v>
      </c>
      <c r="D8" s="5">
        <v>312148.15000000002</v>
      </c>
      <c r="E8" s="9">
        <v>117.25079411149864</v>
      </c>
      <c r="F8" s="9">
        <v>191.11783881254874</v>
      </c>
      <c r="G8" s="5">
        <v>762172231.5</v>
      </c>
      <c r="H8" s="5">
        <v>78117.36923076924</v>
      </c>
      <c r="I8" s="44">
        <v>1.0000517623269751</v>
      </c>
      <c r="J8" s="43">
        <v>1</v>
      </c>
      <c r="K8" s="6" t="s">
        <v>23</v>
      </c>
      <c r="L8" s="6">
        <v>4</v>
      </c>
      <c r="M8" s="15">
        <v>51.793574090414758</v>
      </c>
      <c r="N8" s="6">
        <v>120</v>
      </c>
      <c r="P8" s="9">
        <v>761977465.45318699</v>
      </c>
      <c r="Q8" s="9">
        <v>4085730.689999999</v>
      </c>
      <c r="R8" s="10">
        <v>5.3620098693732444E-3</v>
      </c>
      <c r="S8" s="11">
        <v>0.02</v>
      </c>
      <c r="T8" s="11" t="s">
        <v>23</v>
      </c>
      <c r="U8" s="1"/>
    </row>
    <row r="9" spans="2:21" s="38" customFormat="1" ht="16.95" customHeight="1" x14ac:dyDescent="0.3">
      <c r="B9" s="13">
        <v>44536</v>
      </c>
      <c r="C9" s="16">
        <v>762115675.42467046</v>
      </c>
      <c r="D9" s="5">
        <v>448172.75</v>
      </c>
      <c r="E9" s="9">
        <v>167.37556543795264</v>
      </c>
      <c r="F9" s="9">
        <v>272.82080755982503</v>
      </c>
      <c r="G9" s="5">
        <v>762451157.25</v>
      </c>
      <c r="H9" s="5">
        <v>79853.310769230768</v>
      </c>
      <c r="I9" s="44">
        <v>1.0000434217549847</v>
      </c>
      <c r="J9" s="43">
        <v>1</v>
      </c>
      <c r="K9" s="6" t="s">
        <v>23</v>
      </c>
      <c r="L9" s="6">
        <v>1</v>
      </c>
      <c r="M9" s="15">
        <v>48.766855866071168</v>
      </c>
      <c r="N9" s="6">
        <v>116</v>
      </c>
      <c r="P9" s="9">
        <v>762115675.42467046</v>
      </c>
      <c r="Q9" s="9">
        <v>4299072.5699999984</v>
      </c>
      <c r="R9" s="10">
        <v>5.6409711919446406E-3</v>
      </c>
      <c r="S9" s="11">
        <v>0.02</v>
      </c>
      <c r="T9" s="11" t="s">
        <v>23</v>
      </c>
      <c r="U9" s="1"/>
    </row>
    <row r="10" spans="2:21" s="38" customFormat="1" ht="16.95" customHeight="1" x14ac:dyDescent="0.3">
      <c r="B10" s="13">
        <v>44537</v>
      </c>
      <c r="C10" s="16">
        <v>762334435.27278399</v>
      </c>
      <c r="D10" s="5">
        <v>514061.95</v>
      </c>
      <c r="E10" s="9">
        <v>167.43807387896265</v>
      </c>
      <c r="F10" s="9">
        <v>272.92269580923011</v>
      </c>
      <c r="G10" s="5">
        <v>762730185</v>
      </c>
      <c r="H10" s="5">
        <v>40143.856923076921</v>
      </c>
      <c r="I10" s="44">
        <v>1.0001031950331396</v>
      </c>
      <c r="J10" s="43">
        <v>1</v>
      </c>
      <c r="K10" s="6" t="s">
        <v>23</v>
      </c>
      <c r="L10" s="6">
        <v>1</v>
      </c>
      <c r="M10" s="15">
        <v>49.364656651042637</v>
      </c>
      <c r="N10" s="6">
        <v>115</v>
      </c>
      <c r="P10" s="9">
        <v>762334435.27278399</v>
      </c>
      <c r="Q10" s="9">
        <v>4423823</v>
      </c>
      <c r="R10" s="10">
        <v>5.8029951099047962E-3</v>
      </c>
      <c r="S10" s="11">
        <v>0.02</v>
      </c>
      <c r="T10" s="11" t="s">
        <v>23</v>
      </c>
      <c r="U10" s="1"/>
    </row>
    <row r="11" spans="2:21" s="38" customFormat="1" ht="16.95" customHeight="1" x14ac:dyDescent="0.3">
      <c r="B11" s="13">
        <v>44538</v>
      </c>
      <c r="C11" s="16">
        <v>762847779.09964633</v>
      </c>
      <c r="D11" s="5">
        <v>285432.45</v>
      </c>
      <c r="E11" s="9">
        <v>192.10772893618264</v>
      </c>
      <c r="F11" s="9">
        <v>313.13403249581523</v>
      </c>
      <c r="G11" s="5">
        <v>763009314.75</v>
      </c>
      <c r="H11" s="5">
        <v>40997.981538461536</v>
      </c>
      <c r="I11" s="44">
        <v>1.0001097669370502</v>
      </c>
      <c r="J11" s="43">
        <v>1</v>
      </c>
      <c r="K11" s="6" t="s">
        <v>23</v>
      </c>
      <c r="L11" s="6">
        <v>1</v>
      </c>
      <c r="M11" s="15">
        <v>48.973631647030679</v>
      </c>
      <c r="N11" s="6">
        <v>114</v>
      </c>
      <c r="P11" s="9">
        <v>762847779.09964633</v>
      </c>
      <c r="Q11" s="9">
        <v>4457749.7400000021</v>
      </c>
      <c r="R11" s="10">
        <v>5.843563895881399E-3</v>
      </c>
      <c r="S11" s="11">
        <v>0.02</v>
      </c>
      <c r="T11" s="11" t="s">
        <v>23</v>
      </c>
      <c r="U11" s="1"/>
    </row>
    <row r="12" spans="2:21" s="38" customFormat="1" ht="16.95" customHeight="1" x14ac:dyDescent="0.3">
      <c r="B12" s="13">
        <v>44539</v>
      </c>
      <c r="C12" s="16">
        <v>763086763.1210748</v>
      </c>
      <c r="D12" s="5">
        <v>331362.53999999998</v>
      </c>
      <c r="E12" s="9">
        <v>106.79500588789223</v>
      </c>
      <c r="F12" s="9">
        <v>174.07498922231824</v>
      </c>
      <c r="G12" s="5">
        <v>763288546.5</v>
      </c>
      <c r="H12" s="5">
        <v>41852.106153846151</v>
      </c>
      <c r="I12" s="44">
        <v>1.0001162799327892</v>
      </c>
      <c r="J12" s="43">
        <v>1</v>
      </c>
      <c r="K12" s="6" t="s">
        <v>23</v>
      </c>
      <c r="L12" s="6">
        <v>1</v>
      </c>
      <c r="M12" s="15">
        <v>48.475022160213733</v>
      </c>
      <c r="N12" s="6">
        <v>113</v>
      </c>
      <c r="P12" s="9">
        <v>763086763.1210748</v>
      </c>
      <c r="Q12" s="9">
        <v>4501462.6599999992</v>
      </c>
      <c r="R12" s="10">
        <v>5.8990181425618267E-3</v>
      </c>
      <c r="S12" s="11">
        <v>0.02</v>
      </c>
      <c r="T12" s="11" t="s">
        <v>23</v>
      </c>
      <c r="U12" s="1"/>
    </row>
    <row r="13" spans="2:21" s="38" customFormat="1" ht="16.95" customHeight="1" x14ac:dyDescent="0.3">
      <c r="B13" s="13">
        <v>44540</v>
      </c>
      <c r="C13" s="16">
        <v>763303850.73390543</v>
      </c>
      <c r="D13" s="5">
        <v>398892.42</v>
      </c>
      <c r="E13" s="9">
        <v>123.98804062474868</v>
      </c>
      <c r="F13" s="9">
        <v>202.09949572086177</v>
      </c>
      <c r="G13" s="5">
        <v>763567880.25</v>
      </c>
      <c r="H13" s="5">
        <v>41852.106153846151</v>
      </c>
      <c r="I13" s="44">
        <v>1.00012306421066</v>
      </c>
      <c r="J13" s="43">
        <v>1</v>
      </c>
      <c r="K13" s="6" t="s">
        <v>23</v>
      </c>
      <c r="L13" s="6">
        <v>3</v>
      </c>
      <c r="M13" s="15">
        <v>48.433047777736178</v>
      </c>
      <c r="N13" s="6">
        <v>119</v>
      </c>
      <c r="P13" s="9">
        <v>763303850.73390543</v>
      </c>
      <c r="Q13" s="9">
        <v>4566255.540000001</v>
      </c>
      <c r="R13" s="10">
        <v>5.982225211637035E-3</v>
      </c>
      <c r="S13" s="11">
        <v>0.02</v>
      </c>
      <c r="T13" s="11" t="s">
        <v>23</v>
      </c>
      <c r="U13" s="1"/>
    </row>
    <row r="14" spans="2:21" s="38" customFormat="1" ht="16.95" customHeight="1" x14ac:dyDescent="0.3">
      <c r="B14" s="13">
        <v>44543</v>
      </c>
      <c r="C14" s="16">
        <v>762120480.62061179</v>
      </c>
      <c r="D14" s="5">
        <v>1868532.52</v>
      </c>
      <c r="E14" s="9">
        <v>149.25420064309918</v>
      </c>
      <c r="F14" s="9">
        <v>243.28313063259853</v>
      </c>
      <c r="G14" s="5">
        <v>763847316.75</v>
      </c>
      <c r="H14" s="5">
        <v>42706.230769230766</v>
      </c>
      <c r="I14" s="44">
        <v>1.0001299054052126</v>
      </c>
      <c r="J14" s="43">
        <v>1</v>
      </c>
      <c r="K14" s="6" t="s">
        <v>23</v>
      </c>
      <c r="L14" s="6">
        <v>1</v>
      </c>
      <c r="M14" s="15">
        <v>54.695773485888253</v>
      </c>
      <c r="N14" s="6">
        <v>120</v>
      </c>
      <c r="P14" s="9">
        <v>762120480.62061179</v>
      </c>
      <c r="Q14" s="9">
        <v>4406628.6000000006</v>
      </c>
      <c r="R14" s="10">
        <v>5.7820629573051025E-3</v>
      </c>
      <c r="S14" s="11">
        <v>0.02</v>
      </c>
      <c r="T14" s="11" t="s">
        <v>23</v>
      </c>
      <c r="U14" s="1"/>
    </row>
    <row r="15" spans="2:21" s="38" customFormat="1" ht="16.95" customHeight="1" x14ac:dyDescent="0.3">
      <c r="B15" s="13">
        <v>44544</v>
      </c>
      <c r="C15" s="16">
        <v>764100221.72356939</v>
      </c>
      <c r="D15" s="5">
        <v>173418.99</v>
      </c>
      <c r="E15" s="9">
        <v>697.88194079276161</v>
      </c>
      <c r="F15" s="9">
        <v>1137.5418757828227</v>
      </c>
      <c r="G15" s="5">
        <v>764126855.25</v>
      </c>
      <c r="H15" s="5">
        <v>43560.355384615381</v>
      </c>
      <c r="I15" s="44">
        <v>1.00013656986443</v>
      </c>
      <c r="J15" s="43">
        <v>1</v>
      </c>
      <c r="K15" s="6" t="s">
        <v>23</v>
      </c>
      <c r="L15" s="6">
        <v>1</v>
      </c>
      <c r="M15" s="15">
        <v>53.970508007141689</v>
      </c>
      <c r="N15" s="6">
        <v>120</v>
      </c>
      <c r="P15" s="9">
        <v>764100221.72356939</v>
      </c>
      <c r="Q15" s="9">
        <v>4494624.0400000019</v>
      </c>
      <c r="R15" s="10">
        <v>5.8822441248106774E-3</v>
      </c>
      <c r="S15" s="11">
        <v>0.02</v>
      </c>
      <c r="T15" s="11" t="s">
        <v>23</v>
      </c>
      <c r="U15" s="1"/>
    </row>
    <row r="16" spans="2:21" s="38" customFormat="1" ht="16.95" customHeight="1" x14ac:dyDescent="0.3">
      <c r="B16" s="13">
        <v>44545</v>
      </c>
      <c r="C16" s="16">
        <v>764409626.07424939</v>
      </c>
      <c r="D16" s="5">
        <v>149383.23000000001</v>
      </c>
      <c r="E16" s="9">
        <v>65.081804727316424</v>
      </c>
      <c r="F16" s="9">
        <v>106.08281129146933</v>
      </c>
      <c r="G16" s="5">
        <v>764406495.75</v>
      </c>
      <c r="H16" s="5">
        <v>44414.479999999996</v>
      </c>
      <c r="I16" s="44">
        <v>1.0001415462466099</v>
      </c>
      <c r="J16" s="43">
        <v>1</v>
      </c>
      <c r="K16" s="6" t="s">
        <v>23</v>
      </c>
      <c r="L16" s="6">
        <v>1</v>
      </c>
      <c r="M16" s="15">
        <v>53.118953808584855</v>
      </c>
      <c r="N16" s="6">
        <v>120</v>
      </c>
      <c r="P16" s="9">
        <v>764409626.07424939</v>
      </c>
      <c r="Q16" s="9">
        <v>4574731.3000000007</v>
      </c>
      <c r="R16" s="10">
        <v>5.9846594599995834E-3</v>
      </c>
      <c r="S16" s="11">
        <v>0.02</v>
      </c>
      <c r="T16" s="11" t="s">
        <v>23</v>
      </c>
      <c r="U16" s="1"/>
    </row>
    <row r="17" spans="2:21" s="38" customFormat="1" ht="16.95" customHeight="1" x14ac:dyDescent="0.3">
      <c r="B17" s="13">
        <v>44546</v>
      </c>
      <c r="C17" s="16">
        <v>764018999.43501925</v>
      </c>
      <c r="D17" s="5">
        <v>825504.75</v>
      </c>
      <c r="E17" s="9">
        <v>56.129663355791799</v>
      </c>
      <c r="F17" s="9">
        <v>91.490893815471566</v>
      </c>
      <c r="G17" s="5">
        <v>764686239</v>
      </c>
      <c r="H17" s="5">
        <v>45268.604615384611</v>
      </c>
      <c r="I17" s="44">
        <v>1.0001478794454959</v>
      </c>
      <c r="J17" s="43">
        <v>1</v>
      </c>
      <c r="K17" s="6" t="s">
        <v>23</v>
      </c>
      <c r="L17" s="6">
        <v>1</v>
      </c>
      <c r="M17" s="15">
        <v>57.027976766273433</v>
      </c>
      <c r="N17" s="6">
        <v>119</v>
      </c>
      <c r="P17" s="9">
        <v>764018999.43501925</v>
      </c>
      <c r="Q17" s="9">
        <v>4431378.3499999987</v>
      </c>
      <c r="R17" s="10">
        <v>5.8000892036414505E-3</v>
      </c>
      <c r="S17" s="11">
        <v>0.02</v>
      </c>
      <c r="T17" s="11" t="s">
        <v>23</v>
      </c>
      <c r="U17" s="1"/>
    </row>
    <row r="18" spans="2:21" s="38" customFormat="1" ht="16.95" customHeight="1" x14ac:dyDescent="0.3">
      <c r="B18" s="13">
        <v>44547</v>
      </c>
      <c r="C18" s="16">
        <v>764673174.39154112</v>
      </c>
      <c r="D18" s="5">
        <v>456689.94</v>
      </c>
      <c r="E18" s="9">
        <v>308.65643221648224</v>
      </c>
      <c r="F18" s="9">
        <v>503.10746897552121</v>
      </c>
      <c r="G18" s="5">
        <v>764966084.25</v>
      </c>
      <c r="H18" s="5">
        <v>46122.729230769233</v>
      </c>
      <c r="I18" s="44">
        <v>1.0001544556527353</v>
      </c>
      <c r="J18" s="43">
        <v>1</v>
      </c>
      <c r="K18" s="6" t="s">
        <v>23</v>
      </c>
      <c r="L18" s="6">
        <v>3</v>
      </c>
      <c r="M18" s="15">
        <v>59.428959431730732</v>
      </c>
      <c r="N18" s="6">
        <v>118</v>
      </c>
      <c r="P18" s="9">
        <v>764673174.39154112</v>
      </c>
      <c r="Q18" s="9">
        <v>4439031.0599999987</v>
      </c>
      <c r="R18" s="10">
        <v>5.8051350677133205E-3</v>
      </c>
      <c r="S18" s="11">
        <v>0.02</v>
      </c>
      <c r="T18" s="11" t="s">
        <v>23</v>
      </c>
      <c r="U18" s="1"/>
    </row>
    <row r="19" spans="2:21" s="38" customFormat="1" ht="16.95" customHeight="1" x14ac:dyDescent="0.3">
      <c r="B19" s="13">
        <v>44550</v>
      </c>
      <c r="C19" s="16">
        <v>765257649.32795465</v>
      </c>
      <c r="D19" s="5">
        <v>123280.36</v>
      </c>
      <c r="E19" s="9">
        <v>170.55641365371872</v>
      </c>
      <c r="F19" s="9">
        <v>278.00556422774042</v>
      </c>
      <c r="G19" s="5">
        <v>765246032.25</v>
      </c>
      <c r="H19" s="5">
        <v>46976.853846153848</v>
      </c>
      <c r="I19" s="44">
        <v>1.0001152481319227</v>
      </c>
      <c r="J19" s="43">
        <v>1</v>
      </c>
      <c r="K19" s="6" t="s">
        <v>23</v>
      </c>
      <c r="L19" s="6">
        <v>1</v>
      </c>
      <c r="M19" s="15">
        <v>56.723675025559658</v>
      </c>
      <c r="N19" s="6">
        <v>120</v>
      </c>
      <c r="P19" s="9">
        <v>765257649.32795465</v>
      </c>
      <c r="Q19" s="9">
        <v>4530886.5199999996</v>
      </c>
      <c r="R19" s="10">
        <v>5.9207333947971655E-3</v>
      </c>
      <c r="S19" s="11">
        <v>0.02</v>
      </c>
      <c r="T19" s="11" t="s">
        <v>23</v>
      </c>
      <c r="U19" s="1"/>
    </row>
    <row r="20" spans="2:21" s="38" customFormat="1" ht="16.95" customHeight="1" x14ac:dyDescent="0.3">
      <c r="B20" s="13">
        <v>44551</v>
      </c>
      <c r="C20" s="16">
        <v>765534663.74361765</v>
      </c>
      <c r="D20" s="5">
        <v>132069.9</v>
      </c>
      <c r="E20" s="9">
        <v>46.104246495505848</v>
      </c>
      <c r="F20" s="9">
        <v>75.14954603994434</v>
      </c>
      <c r="G20" s="5">
        <v>765526083</v>
      </c>
      <c r="H20" s="5">
        <v>47830.978461538463</v>
      </c>
      <c r="I20" s="44">
        <v>1.0001213400992459</v>
      </c>
      <c r="J20" s="43">
        <v>1</v>
      </c>
      <c r="K20" s="6" t="s">
        <v>23</v>
      </c>
      <c r="L20" s="6">
        <v>1</v>
      </c>
      <c r="M20" s="15">
        <v>56.520287695970097</v>
      </c>
      <c r="N20" s="6">
        <v>119</v>
      </c>
      <c r="P20" s="9">
        <v>765534663.74361765</v>
      </c>
      <c r="Q20" s="9">
        <v>4526609.330000001</v>
      </c>
      <c r="R20" s="10">
        <v>5.9130037402408088E-3</v>
      </c>
      <c r="S20" s="11">
        <v>0.02</v>
      </c>
      <c r="T20" s="11" t="s">
        <v>23</v>
      </c>
      <c r="U20" s="1"/>
    </row>
    <row r="21" spans="2:21" s="38" customFormat="1" ht="16.95" customHeight="1" x14ac:dyDescent="0.3">
      <c r="B21" s="13">
        <v>44552</v>
      </c>
      <c r="C21" s="16">
        <v>765448649.48415506</v>
      </c>
      <c r="D21" s="5">
        <v>503998.92</v>
      </c>
      <c r="E21" s="9">
        <v>49.404025323571084</v>
      </c>
      <c r="F21" s="9">
        <v>80.528158636627694</v>
      </c>
      <c r="G21" s="5">
        <v>765806235.75</v>
      </c>
      <c r="H21" s="5">
        <v>48685.103076923078</v>
      </c>
      <c r="I21" s="44">
        <v>1.0001277109757651</v>
      </c>
      <c r="J21" s="43">
        <v>1</v>
      </c>
      <c r="K21" s="6" t="s">
        <v>23</v>
      </c>
      <c r="L21" s="6">
        <v>2</v>
      </c>
      <c r="M21" s="15">
        <v>58.063718826598333</v>
      </c>
      <c r="N21" s="6">
        <v>118</v>
      </c>
      <c r="P21" s="9">
        <v>765448649.48415506</v>
      </c>
      <c r="Q21" s="9">
        <v>4420847.7800000021</v>
      </c>
      <c r="R21" s="10">
        <v>5.7754988306260181E-3</v>
      </c>
      <c r="S21" s="11">
        <v>0.02</v>
      </c>
      <c r="T21" s="11" t="s">
        <v>23</v>
      </c>
      <c r="U21" s="1"/>
    </row>
    <row r="22" spans="2:21" s="38" customFormat="1" ht="16.95" customHeight="1" x14ac:dyDescent="0.3">
      <c r="B22" s="13">
        <v>44553</v>
      </c>
      <c r="C22" s="16">
        <v>766026894.79204738</v>
      </c>
      <c r="D22" s="5">
        <v>211625.11</v>
      </c>
      <c r="E22" s="9">
        <v>188.32389283438479</v>
      </c>
      <c r="F22" s="9">
        <v>306.96641048799478</v>
      </c>
      <c r="G22" s="5">
        <v>766086491.25</v>
      </c>
      <c r="H22" s="5">
        <v>49539.227692307693</v>
      </c>
      <c r="I22" s="44">
        <v>1.0001341751160058</v>
      </c>
      <c r="J22" s="43">
        <v>1</v>
      </c>
      <c r="K22" s="6" t="s">
        <v>23</v>
      </c>
      <c r="L22" s="6">
        <v>1</v>
      </c>
      <c r="M22" s="15">
        <v>58.756738369163514</v>
      </c>
      <c r="N22" s="6">
        <v>117</v>
      </c>
      <c r="P22" s="9">
        <v>766026894.79204738</v>
      </c>
      <c r="Q22" s="9">
        <v>4294570.4399999995</v>
      </c>
      <c r="R22" s="10">
        <v>5.6062919842596948E-3</v>
      </c>
      <c r="S22" s="11">
        <v>0.02</v>
      </c>
      <c r="T22" s="11" t="s">
        <v>23</v>
      </c>
      <c r="U22" s="1"/>
    </row>
    <row r="23" spans="2:21" s="38" customFormat="1" ht="16.95" customHeight="1" x14ac:dyDescent="0.3">
      <c r="B23" s="13">
        <v>44554</v>
      </c>
      <c r="C23" s="16">
        <v>744384712.35271752</v>
      </c>
      <c r="D23" s="5">
        <v>22140470.359999999</v>
      </c>
      <c r="E23" s="9">
        <v>79.20366865754697</v>
      </c>
      <c r="F23" s="9">
        <v>129.10133440512956</v>
      </c>
      <c r="G23" s="5">
        <v>766366849.5</v>
      </c>
      <c r="H23" s="5">
        <v>50393.352307692308</v>
      </c>
      <c r="I23" s="44">
        <v>1.0001410053893649</v>
      </c>
      <c r="J23" s="43">
        <v>1</v>
      </c>
      <c r="K23" s="6" t="s">
        <v>23</v>
      </c>
      <c r="L23" s="6">
        <v>3</v>
      </c>
      <c r="M23" s="15">
        <v>62.305388200997726</v>
      </c>
      <c r="N23" s="6">
        <v>117</v>
      </c>
      <c r="P23" s="9">
        <v>744384712.35271752</v>
      </c>
      <c r="Q23" s="9">
        <v>4352546.0999999996</v>
      </c>
      <c r="R23" s="10">
        <v>5.8471728768357606E-3</v>
      </c>
      <c r="S23" s="11">
        <v>0.02</v>
      </c>
      <c r="T23" s="11" t="s">
        <v>23</v>
      </c>
      <c r="U23" s="1"/>
    </row>
    <row r="24" spans="2:21" s="38" customFormat="1" ht="16.95" customHeight="1" x14ac:dyDescent="0.3">
      <c r="B24" s="13">
        <v>44557</v>
      </c>
      <c r="C24" s="16">
        <v>766194019.80764544</v>
      </c>
      <c r="D24" s="5">
        <v>607860.11</v>
      </c>
      <c r="E24" s="9">
        <v>8268.6279912538866</v>
      </c>
      <c r="F24" s="9">
        <v>13477.796236762653</v>
      </c>
      <c r="G24" s="5">
        <v>766647309.75</v>
      </c>
      <c r="H24" s="5">
        <v>51247.476923076923</v>
      </c>
      <c r="I24" s="44">
        <v>1.0001523421243697</v>
      </c>
      <c r="J24" s="43">
        <v>1</v>
      </c>
      <c r="K24" s="6" t="s">
        <v>23</v>
      </c>
      <c r="L24" s="6">
        <v>1</v>
      </c>
      <c r="M24" s="15">
        <v>56.770734446687214</v>
      </c>
      <c r="N24" s="6">
        <v>113</v>
      </c>
      <c r="P24" s="9">
        <v>766194019.80764544</v>
      </c>
      <c r="Q24" s="9">
        <v>4060854.66</v>
      </c>
      <c r="R24" s="10">
        <v>5.30003439731817E-3</v>
      </c>
      <c r="S24" s="11">
        <v>0.02</v>
      </c>
      <c r="T24" s="11" t="s">
        <v>23</v>
      </c>
      <c r="U24" s="1"/>
    </row>
    <row r="25" spans="2:21" s="38" customFormat="1" ht="16.95" customHeight="1" x14ac:dyDescent="0.3">
      <c r="B25" s="13">
        <v>44558</v>
      </c>
      <c r="C25" s="16">
        <v>766602486.94303644</v>
      </c>
      <c r="D25" s="5">
        <v>485565.95</v>
      </c>
      <c r="E25" s="9">
        <v>230.10077231125337</v>
      </c>
      <c r="F25" s="9">
        <v>375.06238355542524</v>
      </c>
      <c r="G25" s="5">
        <v>766927872.75</v>
      </c>
      <c r="H25" s="5">
        <v>52101.601538461538</v>
      </c>
      <c r="I25" s="44">
        <v>1.0001589759891989</v>
      </c>
      <c r="J25" s="43">
        <v>1</v>
      </c>
      <c r="K25" s="6" t="s">
        <v>23</v>
      </c>
      <c r="L25" s="6">
        <v>1</v>
      </c>
      <c r="M25" s="15">
        <v>56.304975859663536</v>
      </c>
      <c r="N25" s="6">
        <v>112</v>
      </c>
      <c r="P25" s="9">
        <v>766602486.94303644</v>
      </c>
      <c r="Q25" s="9">
        <v>3975212.4600000004</v>
      </c>
      <c r="R25" s="10">
        <v>5.1854938220352847E-3</v>
      </c>
      <c r="S25" s="11">
        <v>0.02</v>
      </c>
      <c r="T25" s="11" t="s">
        <v>23</v>
      </c>
      <c r="U25" s="1"/>
    </row>
    <row r="26" spans="2:21" s="38" customFormat="1" ht="16.95" customHeight="1" x14ac:dyDescent="0.3">
      <c r="B26" s="13">
        <v>44559</v>
      </c>
      <c r="C26" s="16">
        <v>767234209.50565004</v>
      </c>
      <c r="D26" s="5">
        <v>140150.75</v>
      </c>
      <c r="E26" s="9">
        <v>184.51446450274395</v>
      </c>
      <c r="F26" s="9">
        <v>300.7570733541059</v>
      </c>
      <c r="G26" s="5">
        <v>767208539.25</v>
      </c>
      <c r="H26" s="5">
        <v>158154.30000000002</v>
      </c>
      <c r="I26" s="44">
        <v>1.0000284353250242</v>
      </c>
      <c r="J26" s="43">
        <v>1</v>
      </c>
      <c r="K26" s="6" t="s">
        <v>23</v>
      </c>
      <c r="L26" s="6">
        <v>1</v>
      </c>
      <c r="M26" s="15">
        <v>56.317663162362599</v>
      </c>
      <c r="N26" s="6">
        <v>111</v>
      </c>
      <c r="P26" s="9">
        <v>767234209.50565004</v>
      </c>
      <c r="Q26" s="9">
        <v>3877837.1199999996</v>
      </c>
      <c r="R26" s="10">
        <v>5.0543068491414062E-3</v>
      </c>
      <c r="S26" s="11">
        <v>0.02</v>
      </c>
      <c r="T26" s="11" t="s">
        <v>23</v>
      </c>
      <c r="U26" s="1"/>
    </row>
    <row r="27" spans="2:21" s="38" customFormat="1" ht="16.95" customHeight="1" x14ac:dyDescent="0.3">
      <c r="B27" s="13">
        <v>44560</v>
      </c>
      <c r="C27" s="16">
        <v>766631971.45270252</v>
      </c>
      <c r="D27" s="5">
        <v>970001.24</v>
      </c>
      <c r="E27" s="9">
        <v>55.583865312954153</v>
      </c>
      <c r="F27" s="9">
        <v>90.601247453878003</v>
      </c>
      <c r="G27" s="5">
        <v>767489307.75</v>
      </c>
      <c r="H27" s="5">
        <v>117531.20000000001</v>
      </c>
      <c r="I27" s="44">
        <v>1.0000122171392538</v>
      </c>
      <c r="J27" s="43">
        <v>1</v>
      </c>
      <c r="K27" s="6" t="s">
        <v>23</v>
      </c>
      <c r="L27" s="6">
        <v>1</v>
      </c>
      <c r="M27" s="15">
        <v>57.020631736448429</v>
      </c>
      <c r="N27" s="6">
        <v>110</v>
      </c>
      <c r="P27" s="9">
        <v>766631971.45270252</v>
      </c>
      <c r="Q27" s="9">
        <v>3784350.5399999972</v>
      </c>
      <c r="R27" s="10">
        <v>4.9363327918987964E-3</v>
      </c>
      <c r="S27" s="11">
        <v>0.02</v>
      </c>
      <c r="T27" s="11" t="s">
        <v>23</v>
      </c>
      <c r="U27" s="1"/>
    </row>
    <row r="28" spans="2:21" s="38" customFormat="1" ht="16.95" customHeight="1" x14ac:dyDescent="0.3">
      <c r="B28" s="13">
        <v>44561</v>
      </c>
      <c r="C28" s="16">
        <f>+SUM(C32:C1147)</f>
        <v>743789455.38699651</v>
      </c>
      <c r="D28" s="5">
        <v>24098825.34</v>
      </c>
      <c r="E28" s="9">
        <f>(D27+E24+E25+E27+E26)*((1+9.8664%)^(1/252)-1)</f>
        <v>365.52238427377455</v>
      </c>
      <c r="F28" s="9">
        <f>E28/(100%-38.65%)</f>
        <v>595.79850737371567</v>
      </c>
      <c r="G28" s="5">
        <v>767770179</v>
      </c>
      <c r="H28" s="5">
        <f>+SUM('Projeção de Despesas'!$L$3:$N$14)</f>
        <v>117531.20000000001</v>
      </c>
      <c r="I28" s="44">
        <f>+(C28+F24+F25+D28+F28+F27+F26)/(+G28+H28)</f>
        <v>1.00002006874474</v>
      </c>
      <c r="J28" s="43">
        <v>1</v>
      </c>
      <c r="K28" s="6" t="str">
        <f>IF(I28&gt;=J28,"OK","DEFAULT")</f>
        <v>OK</v>
      </c>
      <c r="L28" s="6">
        <f>MIN(D32:D131)</f>
        <v>3</v>
      </c>
      <c r="M28" s="15">
        <f>SUMPRODUCT(C32:C147,D32:D147)/SUM(C33:C712)</f>
        <v>57.339296668679999</v>
      </c>
      <c r="N28" s="6">
        <f>MAX(D33:D327)</f>
        <v>109</v>
      </c>
      <c r="P28" s="9">
        <f t="shared" ref="P28" si="0">C28</f>
        <v>743789455.38699651</v>
      </c>
      <c r="Q28" s="9">
        <f>+SUM('Resolução de Cessão'!B:B)</f>
        <v>3705243.6099999989</v>
      </c>
      <c r="R28" s="10">
        <f t="shared" ref="R28" si="1">+Q28/P28</f>
        <v>4.9815758789860049E-3</v>
      </c>
      <c r="S28" s="11">
        <v>0.02</v>
      </c>
      <c r="T28" s="11" t="str">
        <f t="shared" ref="T28" si="2">+IF(R28&lt;S28,"OK","DEFAULT")</f>
        <v>OK</v>
      </c>
      <c r="U28" s="1"/>
    </row>
    <row r="29" spans="2:21" ht="15" customHeight="1" x14ac:dyDescent="0.3">
      <c r="B29" s="21"/>
      <c r="C29" s="22"/>
      <c r="D29" s="23"/>
      <c r="E29" s="23"/>
      <c r="F29" s="23"/>
      <c r="G29" s="24"/>
      <c r="H29" s="45"/>
      <c r="I29" s="40"/>
      <c r="J29" s="25"/>
      <c r="K29" s="25"/>
      <c r="L29" s="26"/>
      <c r="M29" s="25"/>
      <c r="O29" s="27"/>
      <c r="P29" s="27"/>
      <c r="Q29" s="28"/>
      <c r="R29" s="29"/>
      <c r="S29" s="29"/>
      <c r="T29" s="1"/>
    </row>
    <row r="30" spans="2:21" x14ac:dyDescent="0.3">
      <c r="B30" s="3" t="s">
        <v>12</v>
      </c>
      <c r="C30" s="8"/>
      <c r="D30" s="8"/>
      <c r="G30" s="17"/>
      <c r="H30" s="17"/>
      <c r="I30" s="17"/>
    </row>
    <row r="31" spans="2:21" x14ac:dyDescent="0.3">
      <c r="B31" s="2" t="s">
        <v>1</v>
      </c>
      <c r="C31" s="2" t="s">
        <v>2</v>
      </c>
      <c r="D31" s="2" t="s">
        <v>15</v>
      </c>
      <c r="E31" s="2" t="s">
        <v>49</v>
      </c>
      <c r="F31" s="2" t="s">
        <v>7</v>
      </c>
      <c r="G31" s="39"/>
      <c r="H31" s="17"/>
      <c r="I31" s="34"/>
      <c r="P31" s="14"/>
    </row>
    <row r="32" spans="2:21" x14ac:dyDescent="0.3">
      <c r="B32" s="12">
        <v>44564</v>
      </c>
      <c r="C32" s="5">
        <f>+SUMIF('Direitos Creditórios'!B:B,Resumo!B32,'Direitos Creditórios'!A:A)</f>
        <v>17508723.584028848</v>
      </c>
      <c r="D32" s="6">
        <f>MAX(B32-$B$28,0)</f>
        <v>3</v>
      </c>
      <c r="E32" s="9">
        <f>IF(B32&lt;'Pagamento Estimado'!$C$7-30,0,+IF((SUMIFS('Direitos Creditórios'!A:A,'Direitos Creditórios'!B:B,"&gt;="&amp;Resumo!B32,'Direitos Creditórios'!B:B,"&lt;="&amp;(WORKDAY('Pagamento Estimado'!$C$7,-30,Feriados!$A:$A))))&gt;'Pagamento Estimado'!$C$15,"Não Reter",('Pagamento Estimado'!$C$15-(SUMIFS('Direitos Creditórios'!A:A,'Direitos Creditórios'!B:B,"&lt;="&amp;Resumo!B32,'Direitos Creditórios'!B:B,"&gt;="&amp;(WORKDAY('Pagamento Estimado'!$C$7,-30,Feriados!$A:$A)))))))</f>
        <v>0</v>
      </c>
      <c r="F32" s="12" t="str">
        <f t="shared" ref="F32:F39" si="3">+IF(E32&lt;0,"Retenção Completa"," ")</f>
        <v xml:space="preserve"> </v>
      </c>
      <c r="G32" s="38"/>
      <c r="H32" s="17"/>
    </row>
    <row r="33" spans="2:8" x14ac:dyDescent="0.3">
      <c r="B33" s="12">
        <v>44565</v>
      </c>
      <c r="C33" s="5">
        <f>+SUMIF('Direitos Creditórios'!B:B,Resumo!B33,'Direitos Creditórios'!A:A)</f>
        <v>3823925.3441113019</v>
      </c>
      <c r="D33" s="6">
        <f t="shared" ref="D33:D96" si="4">MAX(B33-$B$28,0)</f>
        <v>4</v>
      </c>
      <c r="E33" s="9">
        <f>IF(B33&lt;'Pagamento Estimado'!$C$7-30,0,+IF((SUMIFS('Direitos Creditórios'!A:A,'Direitos Creditórios'!B:B,"&gt;="&amp;Resumo!B33,'Direitos Creditórios'!B:B,"&lt;="&amp;(WORKDAY('Pagamento Estimado'!$C$7,-30,Feriados!$A:$A))))&gt;'Pagamento Estimado'!$C$15,"Não Reter",('Pagamento Estimado'!$C$15-(SUMIFS('Direitos Creditórios'!A:A,'Direitos Creditórios'!B:B,"&lt;="&amp;Resumo!B33,'Direitos Creditórios'!B:B,"&gt;="&amp;(WORKDAY('Pagamento Estimado'!$C$7,-30,Feriados!$A:$A)))))))</f>
        <v>0</v>
      </c>
      <c r="F33" s="12" t="str">
        <f t="shared" si="3"/>
        <v xml:space="preserve"> </v>
      </c>
      <c r="G33" s="38"/>
      <c r="H33"/>
    </row>
    <row r="34" spans="2:8" x14ac:dyDescent="0.3">
      <c r="B34" s="12">
        <v>44566</v>
      </c>
      <c r="C34" s="5">
        <f>+SUMIF('Direitos Creditórios'!B:B,Resumo!B34,'Direitos Creditórios'!A:A)</f>
        <v>4120478.6243270538</v>
      </c>
      <c r="D34" s="6">
        <f t="shared" si="4"/>
        <v>5</v>
      </c>
      <c r="E34" s="9">
        <f>IF(B34&lt;'Pagamento Estimado'!$C$7-30,0,+IF((SUMIFS('Direitos Creditórios'!A:A,'Direitos Creditórios'!B:B,"&gt;="&amp;Resumo!B34,'Direitos Creditórios'!B:B,"&lt;="&amp;(WORKDAY('Pagamento Estimado'!$C$7,-30,Feriados!$A:$A))))&gt;'Pagamento Estimado'!$C$15,"Não Reter",('Pagamento Estimado'!$C$15-(SUMIFS('Direitos Creditórios'!A:A,'Direitos Creditórios'!B:B,"&lt;="&amp;Resumo!B34,'Direitos Creditórios'!B:B,"&gt;="&amp;(WORKDAY('Pagamento Estimado'!$C$7,-30,Feriados!$A:$A)))))))</f>
        <v>0</v>
      </c>
      <c r="F34" s="12" t="str">
        <f t="shared" si="3"/>
        <v xml:space="preserve"> </v>
      </c>
      <c r="G34" s="38"/>
      <c r="H34" s="39"/>
    </row>
    <row r="35" spans="2:8" x14ac:dyDescent="0.3">
      <c r="B35" s="12">
        <v>44567</v>
      </c>
      <c r="C35" s="5">
        <f>+SUMIF('Direitos Creditórios'!B:B,Resumo!B35,'Direitos Creditórios'!A:A)</f>
        <v>24328870.23831721</v>
      </c>
      <c r="D35" s="6">
        <f t="shared" si="4"/>
        <v>6</v>
      </c>
      <c r="E35" s="9">
        <f>IF(B35&lt;'Pagamento Estimado'!$C$7-30,0,+IF((SUMIFS('Direitos Creditórios'!A:A,'Direitos Creditórios'!B:B,"&gt;="&amp;Resumo!B35,'Direitos Creditórios'!B:B,"&lt;="&amp;(WORKDAY('Pagamento Estimado'!$C$7,-30,Feriados!$A:$A))))&gt;'Pagamento Estimado'!$C$15,"Não Reter",('Pagamento Estimado'!$C$15-(SUMIFS('Direitos Creditórios'!A:A,'Direitos Creditórios'!B:B,"&lt;="&amp;Resumo!B35,'Direitos Creditórios'!B:B,"&gt;="&amp;(WORKDAY('Pagamento Estimado'!$C$7,-30,Feriados!$A:$A)))))))</f>
        <v>0</v>
      </c>
      <c r="F35" s="12" t="str">
        <f t="shared" si="3"/>
        <v xml:space="preserve"> </v>
      </c>
      <c r="G35" s="38"/>
      <c r="H35" s="39"/>
    </row>
    <row r="36" spans="2:8" x14ac:dyDescent="0.3">
      <c r="B36" s="12">
        <v>44568</v>
      </c>
      <c r="C36" s="5">
        <f>+SUMIF('Direitos Creditórios'!B:B,Resumo!B36,'Direitos Creditórios'!A:A)</f>
        <v>30397434.668278784</v>
      </c>
      <c r="D36" s="6">
        <f t="shared" si="4"/>
        <v>7</v>
      </c>
      <c r="E36" s="9">
        <f>IF(B36&lt;'Pagamento Estimado'!$C$7-30,0,+IF((SUMIFS('Direitos Creditórios'!A:A,'Direitos Creditórios'!B:B,"&gt;="&amp;Resumo!B36,'Direitos Creditórios'!B:B,"&lt;="&amp;(WORKDAY('Pagamento Estimado'!$C$7,-30,Feriados!$A:$A))))&gt;'Pagamento Estimado'!$C$15,"Não Reter",('Pagamento Estimado'!$C$15-(SUMIFS('Direitos Creditórios'!A:A,'Direitos Creditórios'!B:B,"&lt;="&amp;Resumo!B36,'Direitos Creditórios'!B:B,"&gt;="&amp;(WORKDAY('Pagamento Estimado'!$C$7,-30,Feriados!$A:$A)))))))</f>
        <v>0</v>
      </c>
      <c r="F36" s="12" t="str">
        <f t="shared" si="3"/>
        <v xml:space="preserve"> </v>
      </c>
      <c r="G36" s="38"/>
      <c r="H36" s="39"/>
    </row>
    <row r="37" spans="2:8" x14ac:dyDescent="0.3">
      <c r="B37" s="12">
        <v>44571</v>
      </c>
      <c r="C37" s="5">
        <f>+SUMIF('Direitos Creditórios'!B:B,Resumo!B37,'Direitos Creditórios'!A:A)</f>
        <v>50550860.516955443</v>
      </c>
      <c r="D37" s="6">
        <f t="shared" si="4"/>
        <v>10</v>
      </c>
      <c r="E37" s="9">
        <f>IF(B37&lt;'Pagamento Estimado'!$C$7-30,0,+IF((SUMIFS('Direitos Creditórios'!A:A,'Direitos Creditórios'!B:B,"&gt;="&amp;Resumo!B37,'Direitos Creditórios'!B:B,"&lt;="&amp;(WORKDAY('Pagamento Estimado'!$C$7,-30,Feriados!$A:$A))))&gt;'Pagamento Estimado'!$C$15,"Não Reter",('Pagamento Estimado'!$C$15-(SUMIFS('Direitos Creditórios'!A:A,'Direitos Creditórios'!B:B,"&lt;="&amp;Resumo!B37,'Direitos Creditórios'!B:B,"&gt;="&amp;(WORKDAY('Pagamento Estimado'!$C$7,-30,Feriados!$A:$A)))))))</f>
        <v>0</v>
      </c>
      <c r="F37" s="12" t="str">
        <f t="shared" si="3"/>
        <v xml:space="preserve"> </v>
      </c>
      <c r="G37" s="38"/>
      <c r="H37"/>
    </row>
    <row r="38" spans="2:8" x14ac:dyDescent="0.3">
      <c r="B38" s="12">
        <v>44572</v>
      </c>
      <c r="C38" s="5">
        <f>+SUMIF('Direitos Creditórios'!B:B,Resumo!B38,'Direitos Creditórios'!A:A)</f>
        <v>8801841.7284115702</v>
      </c>
      <c r="D38" s="6">
        <f t="shared" si="4"/>
        <v>11</v>
      </c>
      <c r="E38" s="9">
        <f>IF(B38&lt;'Pagamento Estimado'!$C$7-30,0,+IF((SUMIFS('Direitos Creditórios'!A:A,'Direitos Creditórios'!B:B,"&gt;="&amp;Resumo!B38,'Direitos Creditórios'!B:B,"&lt;="&amp;(WORKDAY('Pagamento Estimado'!$C$7,-30,Feriados!$A:$A))))&gt;'Pagamento Estimado'!$C$15,"Não Reter",('Pagamento Estimado'!$C$15-(SUMIFS('Direitos Creditórios'!A:A,'Direitos Creditórios'!B:B,"&lt;="&amp;Resumo!B38,'Direitos Creditórios'!B:B,"&gt;="&amp;(WORKDAY('Pagamento Estimado'!$C$7,-30,Feriados!$A:$A)))))))</f>
        <v>0</v>
      </c>
      <c r="F38" s="12" t="str">
        <f t="shared" si="3"/>
        <v xml:space="preserve"> </v>
      </c>
      <c r="G38" s="38"/>
      <c r="H38"/>
    </row>
    <row r="39" spans="2:8" x14ac:dyDescent="0.3">
      <c r="B39" s="12">
        <v>44573</v>
      </c>
      <c r="C39" s="5">
        <f>+SUMIF('Direitos Creditórios'!B:B,Resumo!B39,'Direitos Creditórios'!A:A)</f>
        <v>9249098.1006247737</v>
      </c>
      <c r="D39" s="6">
        <f t="shared" si="4"/>
        <v>12</v>
      </c>
      <c r="E39" s="9">
        <f>IF(B39&lt;'Pagamento Estimado'!$C$7-30,0,+IF((SUMIFS('Direitos Creditórios'!A:A,'Direitos Creditórios'!B:B,"&gt;="&amp;Resumo!B39,'Direitos Creditórios'!B:B,"&lt;="&amp;(WORKDAY('Pagamento Estimado'!$C$7,-30,Feriados!$A:$A))))&gt;'Pagamento Estimado'!$C$15,"Não Reter",('Pagamento Estimado'!$C$15-(SUMIFS('Direitos Creditórios'!A:A,'Direitos Creditórios'!B:B,"&lt;="&amp;Resumo!B39,'Direitos Creditórios'!B:B,"&gt;="&amp;(WORKDAY('Pagamento Estimado'!$C$7,-30,Feriados!$A:$A)))))))</f>
        <v>0</v>
      </c>
      <c r="F39" s="12" t="str">
        <f t="shared" si="3"/>
        <v xml:space="preserve"> </v>
      </c>
      <c r="G39" s="38"/>
      <c r="H39"/>
    </row>
    <row r="40" spans="2:8" hidden="1" x14ac:dyDescent="0.3">
      <c r="B40" s="12">
        <v>44574</v>
      </c>
      <c r="C40" s="5">
        <f>+SUMIF('Direitos Creditórios'!B:B,Resumo!B40,'Direitos Creditórios'!A:A)</f>
        <v>0</v>
      </c>
      <c r="D40" s="6">
        <f t="shared" si="4"/>
        <v>13</v>
      </c>
      <c r="E40" s="9">
        <f>IF(B40&lt;'Pagamento Estimado'!$C$7-30,0,+IF((SUMIFS('Direitos Creditórios'!A:A,'Direitos Creditórios'!B:B,"&gt;="&amp;Resumo!B40,'Direitos Creditórios'!B:B,"&lt;="&amp;(WORKDAY('Pagamento Estimado'!$C$7,-30,Feriados!$A:$A))))&gt;'Pagamento Estimado'!$C$15,"Não Reter",('Pagamento Estimado'!$C$15-(SUMIFS('Direitos Creditórios'!A:A,'Direitos Creditórios'!B:B,"&lt;="&amp;Resumo!B40,'Direitos Creditórios'!B:B,"&gt;="&amp;(WORKDAY('Pagamento Estimado'!$C$7,-30,Feriados!$A:$A)))))))</f>
        <v>0</v>
      </c>
      <c r="F40" s="12" t="str">
        <f t="shared" ref="F40:F91" si="5">+IF(E40&lt;0,"Retenção Completa"," ")</f>
        <v xml:space="preserve"> </v>
      </c>
      <c r="G40" s="38"/>
      <c r="H40"/>
    </row>
    <row r="41" spans="2:8" hidden="1" x14ac:dyDescent="0.3">
      <c r="B41" s="12">
        <v>44575</v>
      </c>
      <c r="C41" s="5">
        <f>+SUMIF('Direitos Creditórios'!B:B,Resumo!B41,'Direitos Creditórios'!A:A)</f>
        <v>0</v>
      </c>
      <c r="D41" s="6">
        <f t="shared" si="4"/>
        <v>14</v>
      </c>
      <c r="E41" s="9">
        <f>IF(B41&lt;'Pagamento Estimado'!$C$7-30,0,+IF((SUMIFS('Direitos Creditórios'!A:A,'Direitos Creditórios'!B:B,"&gt;="&amp;Resumo!B41,'Direitos Creditórios'!B:B,"&lt;="&amp;(WORKDAY('Pagamento Estimado'!$C$7,-30,Feriados!$A:$A))))&gt;'Pagamento Estimado'!$C$15,"Não Reter",('Pagamento Estimado'!$C$15-(SUMIFS('Direitos Creditórios'!A:A,'Direitos Creditórios'!B:B,"&lt;="&amp;Resumo!B41,'Direitos Creditórios'!B:B,"&gt;="&amp;(WORKDAY('Pagamento Estimado'!$C$7,-30,Feriados!$A:$A)))))))</f>
        <v>0</v>
      </c>
      <c r="F41" s="12" t="str">
        <f t="shared" si="5"/>
        <v xml:space="preserve"> </v>
      </c>
      <c r="G41" s="38"/>
      <c r="H41"/>
    </row>
    <row r="42" spans="2:8" hidden="1" x14ac:dyDescent="0.3">
      <c r="B42" s="12">
        <v>44578</v>
      </c>
      <c r="C42" s="5">
        <f>+SUMIF('Direitos Creditórios'!B:B,Resumo!B42,'Direitos Creditórios'!A:A)</f>
        <v>0</v>
      </c>
      <c r="D42" s="6">
        <f t="shared" si="4"/>
        <v>17</v>
      </c>
      <c r="E42" s="9">
        <f>IF(B42&lt;'Pagamento Estimado'!$C$7-30,0,+IF((SUMIFS('Direitos Creditórios'!A:A,'Direitos Creditórios'!B:B,"&gt;="&amp;Resumo!B42,'Direitos Creditórios'!B:B,"&lt;="&amp;(WORKDAY('Pagamento Estimado'!$C$7,-30,Feriados!$A:$A))))&gt;'Pagamento Estimado'!$C$15,"Não Reter",('Pagamento Estimado'!$C$15-(SUMIFS('Direitos Creditórios'!A:A,'Direitos Creditórios'!B:B,"&lt;="&amp;Resumo!B42,'Direitos Creditórios'!B:B,"&gt;="&amp;(WORKDAY('Pagamento Estimado'!$C$7,-30,Feriados!$A:$A)))))))</f>
        <v>0</v>
      </c>
      <c r="F42" s="12" t="str">
        <f t="shared" si="5"/>
        <v xml:space="preserve"> </v>
      </c>
      <c r="G42" s="38"/>
      <c r="H42"/>
    </row>
    <row r="43" spans="2:8" x14ac:dyDescent="0.3">
      <c r="B43" s="12">
        <v>44579</v>
      </c>
      <c r="C43" s="5">
        <f>+SUMIF('Direitos Creditórios'!B:B,Resumo!B43,'Direitos Creditórios'!A:A)</f>
        <v>61360929.221450374</v>
      </c>
      <c r="D43" s="6">
        <f t="shared" si="4"/>
        <v>18</v>
      </c>
      <c r="E43" s="9">
        <f>IF(B43&lt;'Pagamento Estimado'!$C$7-30,0,+IF((SUMIFS('Direitos Creditórios'!A:A,'Direitos Creditórios'!B:B,"&gt;="&amp;Resumo!B43,'Direitos Creditórios'!B:B,"&lt;="&amp;(WORKDAY('Pagamento Estimado'!$C$7,-30,Feriados!$A:$A))))&gt;'Pagamento Estimado'!$C$15,"Não Reter",('Pagamento Estimado'!$C$15-(SUMIFS('Direitos Creditórios'!A:A,'Direitos Creditórios'!B:B,"&lt;="&amp;Resumo!B43,'Direitos Creditórios'!B:B,"&gt;="&amp;(WORKDAY('Pagamento Estimado'!$C$7,-30,Feriados!$A:$A)))))))</f>
        <v>0</v>
      </c>
      <c r="F43" s="12" t="str">
        <f t="shared" si="5"/>
        <v xml:space="preserve"> </v>
      </c>
      <c r="G43" s="38"/>
      <c r="H43"/>
    </row>
    <row r="44" spans="2:8" hidden="1" x14ac:dyDescent="0.3">
      <c r="B44" s="12">
        <v>44580</v>
      </c>
      <c r="C44" s="5">
        <f>+SUMIF('Direitos Creditórios'!B:B,Resumo!B44,'Direitos Creditórios'!A:A)</f>
        <v>0</v>
      </c>
      <c r="D44" s="6">
        <f t="shared" si="4"/>
        <v>19</v>
      </c>
      <c r="E44" s="9">
        <f>IF(B44&lt;'Pagamento Estimado'!$C$7-30,0,+IF((SUMIFS('Direitos Creditórios'!A:A,'Direitos Creditórios'!B:B,"&gt;="&amp;Resumo!B44,'Direitos Creditórios'!B:B,"&lt;="&amp;(WORKDAY('Pagamento Estimado'!$C$7,-30,Feriados!$A:$A))))&gt;'Pagamento Estimado'!$C$15,"Não Reter",('Pagamento Estimado'!$C$15-(SUMIFS('Direitos Creditórios'!A:A,'Direitos Creditórios'!B:B,"&lt;="&amp;Resumo!B44,'Direitos Creditórios'!B:B,"&gt;="&amp;(WORKDAY('Pagamento Estimado'!$C$7,-30,Feriados!$A:$A)))))))</f>
        <v>0</v>
      </c>
      <c r="F44" s="12" t="str">
        <f t="shared" si="5"/>
        <v xml:space="preserve"> </v>
      </c>
      <c r="G44" s="38"/>
      <c r="H44"/>
    </row>
    <row r="45" spans="2:8" hidden="1" x14ac:dyDescent="0.3">
      <c r="B45" s="12">
        <v>44581</v>
      </c>
      <c r="C45" s="5">
        <f>+SUMIF('Direitos Creditórios'!B:B,Resumo!B45,'Direitos Creditórios'!A:A)</f>
        <v>0</v>
      </c>
      <c r="D45" s="6">
        <f t="shared" si="4"/>
        <v>20</v>
      </c>
      <c r="E45" s="9">
        <f>IF(B45&lt;'Pagamento Estimado'!$C$7-30,0,+IF((SUMIFS('Direitos Creditórios'!A:A,'Direitos Creditórios'!B:B,"&gt;="&amp;Resumo!B45,'Direitos Creditórios'!B:B,"&lt;="&amp;(WORKDAY('Pagamento Estimado'!$C$7,-30,Feriados!$A:$A))))&gt;'Pagamento Estimado'!$C$15,"Não Reter",('Pagamento Estimado'!$C$15-(SUMIFS('Direitos Creditórios'!A:A,'Direitos Creditórios'!B:B,"&lt;="&amp;Resumo!B45,'Direitos Creditórios'!B:B,"&gt;="&amp;(WORKDAY('Pagamento Estimado'!$C$7,-30,Feriados!$A:$A)))))))</f>
        <v>0</v>
      </c>
      <c r="F45" s="12" t="str">
        <f t="shared" si="5"/>
        <v xml:space="preserve"> </v>
      </c>
      <c r="G45" s="38"/>
      <c r="H45"/>
    </row>
    <row r="46" spans="2:8" hidden="1" x14ac:dyDescent="0.3">
      <c r="B46" s="12">
        <v>44582</v>
      </c>
      <c r="C46" s="5">
        <f>+SUMIF('Direitos Creditórios'!B:B,Resumo!B46,'Direitos Creditórios'!A:A)</f>
        <v>0</v>
      </c>
      <c r="D46" s="6">
        <f t="shared" si="4"/>
        <v>21</v>
      </c>
      <c r="E46" s="9">
        <f>IF(B46&lt;'Pagamento Estimado'!$C$7-30,0,+IF((SUMIFS('Direitos Creditórios'!A:A,'Direitos Creditórios'!B:B,"&gt;="&amp;Resumo!B46,'Direitos Creditórios'!B:B,"&lt;="&amp;(WORKDAY('Pagamento Estimado'!$C$7,-30,Feriados!$A:$A))))&gt;'Pagamento Estimado'!$C$15,"Não Reter",('Pagamento Estimado'!$C$15-(SUMIFS('Direitos Creditórios'!A:A,'Direitos Creditórios'!B:B,"&lt;="&amp;Resumo!B46,'Direitos Creditórios'!B:B,"&gt;="&amp;(WORKDAY('Pagamento Estimado'!$C$7,-30,Feriados!$A:$A)))))))</f>
        <v>0</v>
      </c>
      <c r="F46" s="12" t="str">
        <f t="shared" si="5"/>
        <v xml:space="preserve"> </v>
      </c>
      <c r="G46" s="38"/>
      <c r="H46"/>
    </row>
    <row r="47" spans="2:8" hidden="1" x14ac:dyDescent="0.3">
      <c r="B47" s="12">
        <v>44585</v>
      </c>
      <c r="C47" s="5">
        <f>+SUMIF('Direitos Creditórios'!B:B,Resumo!B47,'Direitos Creditórios'!A:A)</f>
        <v>0</v>
      </c>
      <c r="D47" s="6">
        <f t="shared" si="4"/>
        <v>24</v>
      </c>
      <c r="E47" s="9">
        <f>IF(B47&lt;'Pagamento Estimado'!$C$7-30,0,+IF((SUMIFS('Direitos Creditórios'!A:A,'Direitos Creditórios'!B:B,"&gt;="&amp;Resumo!B47,'Direitos Creditórios'!B:B,"&lt;="&amp;(WORKDAY('Pagamento Estimado'!$C$7,-30,Feriados!$A:$A))))&gt;'Pagamento Estimado'!$C$15,"Não Reter",('Pagamento Estimado'!$C$15-(SUMIFS('Direitos Creditórios'!A:A,'Direitos Creditórios'!B:B,"&lt;="&amp;Resumo!B47,'Direitos Creditórios'!B:B,"&gt;="&amp;(WORKDAY('Pagamento Estimado'!$C$7,-30,Feriados!$A:$A)))))))</f>
        <v>0</v>
      </c>
      <c r="F47" s="12" t="str">
        <f t="shared" si="5"/>
        <v xml:space="preserve"> </v>
      </c>
      <c r="G47" s="38"/>
      <c r="H47"/>
    </row>
    <row r="48" spans="2:8" hidden="1" x14ac:dyDescent="0.3">
      <c r="B48" s="12">
        <v>44586</v>
      </c>
      <c r="C48" s="5">
        <f>+SUMIF('Direitos Creditórios'!B:B,Resumo!B48,'Direitos Creditórios'!A:A)</f>
        <v>0</v>
      </c>
      <c r="D48" s="6">
        <f t="shared" si="4"/>
        <v>25</v>
      </c>
      <c r="E48" s="9">
        <f>IF(B48&lt;'Pagamento Estimado'!$C$7-30,0,+IF((SUMIFS('Direitos Creditórios'!A:A,'Direitos Creditórios'!B:B,"&gt;="&amp;Resumo!B48,'Direitos Creditórios'!B:B,"&lt;="&amp;(WORKDAY('Pagamento Estimado'!$C$7,-30,Feriados!$A:$A))))&gt;'Pagamento Estimado'!$C$15,"Não Reter",('Pagamento Estimado'!$C$15-(SUMIFS('Direitos Creditórios'!A:A,'Direitos Creditórios'!B:B,"&lt;="&amp;Resumo!B48,'Direitos Creditórios'!B:B,"&gt;="&amp;(WORKDAY('Pagamento Estimado'!$C$7,-30,Feriados!$A:$A)))))))</f>
        <v>0</v>
      </c>
      <c r="F48" s="12" t="str">
        <f t="shared" si="5"/>
        <v xml:space="preserve"> </v>
      </c>
      <c r="G48" s="38"/>
      <c r="H48"/>
    </row>
    <row r="49" spans="2:8" hidden="1" x14ac:dyDescent="0.3">
      <c r="B49" s="12">
        <v>44587</v>
      </c>
      <c r="C49" s="5">
        <f>+SUMIF('Direitos Creditórios'!B:B,Resumo!B49,'Direitos Creditórios'!A:A)</f>
        <v>0</v>
      </c>
      <c r="D49" s="6">
        <f t="shared" si="4"/>
        <v>26</v>
      </c>
      <c r="E49" s="9">
        <f>IF(B49&lt;'Pagamento Estimado'!$C$7-30,0,+IF((SUMIFS('Direitos Creditórios'!A:A,'Direitos Creditórios'!B:B,"&gt;="&amp;Resumo!B49,'Direitos Creditórios'!B:B,"&lt;="&amp;(WORKDAY('Pagamento Estimado'!$C$7,-30,Feriados!$A:$A))))&gt;'Pagamento Estimado'!$C$15,"Não Reter",('Pagamento Estimado'!$C$15-(SUMIFS('Direitos Creditórios'!A:A,'Direitos Creditórios'!B:B,"&lt;="&amp;Resumo!B49,'Direitos Creditórios'!B:B,"&gt;="&amp;(WORKDAY('Pagamento Estimado'!$C$7,-30,Feriados!$A:$A)))))))</f>
        <v>0</v>
      </c>
      <c r="F49" s="12" t="str">
        <f t="shared" si="5"/>
        <v xml:space="preserve"> </v>
      </c>
      <c r="G49" s="38"/>
      <c r="H49"/>
    </row>
    <row r="50" spans="2:8" hidden="1" x14ac:dyDescent="0.3">
      <c r="B50" s="12">
        <v>44588</v>
      </c>
      <c r="C50" s="5">
        <f>+SUMIF('Direitos Creditórios'!B:B,Resumo!B50,'Direitos Creditórios'!A:A)</f>
        <v>0</v>
      </c>
      <c r="D50" s="6">
        <f t="shared" si="4"/>
        <v>27</v>
      </c>
      <c r="E50" s="9">
        <f>IF(B50&lt;'Pagamento Estimado'!$C$7-30,0,+IF((SUMIFS('Direitos Creditórios'!A:A,'Direitos Creditórios'!B:B,"&gt;="&amp;Resumo!B50,'Direitos Creditórios'!B:B,"&lt;="&amp;(WORKDAY('Pagamento Estimado'!$C$7,-30,Feriados!$A:$A))))&gt;'Pagamento Estimado'!$C$15,"Não Reter",('Pagamento Estimado'!$C$15-(SUMIFS('Direitos Creditórios'!A:A,'Direitos Creditórios'!B:B,"&lt;="&amp;Resumo!B50,'Direitos Creditórios'!B:B,"&gt;="&amp;(WORKDAY('Pagamento Estimado'!$C$7,-30,Feriados!$A:$A)))))))</f>
        <v>0</v>
      </c>
      <c r="F50" s="12" t="str">
        <f t="shared" si="5"/>
        <v xml:space="preserve"> </v>
      </c>
      <c r="G50" s="38"/>
      <c r="H50"/>
    </row>
    <row r="51" spans="2:8" hidden="1" x14ac:dyDescent="0.3">
      <c r="B51" s="12">
        <v>44589</v>
      </c>
      <c r="C51" s="5">
        <f>+SUMIF('Direitos Creditórios'!B:B,Resumo!B51,'Direitos Creditórios'!A:A)</f>
        <v>0</v>
      </c>
      <c r="D51" s="6">
        <f t="shared" si="4"/>
        <v>28</v>
      </c>
      <c r="E51" s="9">
        <f>IF(B51&lt;'Pagamento Estimado'!$C$7-30,0,+IF((SUMIFS('Direitos Creditórios'!A:A,'Direitos Creditórios'!B:B,"&gt;="&amp;Resumo!B51,'Direitos Creditórios'!B:B,"&lt;="&amp;(WORKDAY('Pagamento Estimado'!$C$7,-30,Feriados!$A:$A))))&gt;'Pagamento Estimado'!$C$15,"Não Reter",('Pagamento Estimado'!$C$15-(SUMIFS('Direitos Creditórios'!A:A,'Direitos Creditórios'!B:B,"&lt;="&amp;Resumo!B51,'Direitos Creditórios'!B:B,"&gt;="&amp;(WORKDAY('Pagamento Estimado'!$C$7,-30,Feriados!$A:$A)))))))</f>
        <v>0</v>
      </c>
      <c r="F51" s="12" t="str">
        <f t="shared" si="5"/>
        <v xml:space="preserve"> </v>
      </c>
      <c r="G51" s="38"/>
      <c r="H51"/>
    </row>
    <row r="52" spans="2:8" x14ac:dyDescent="0.3">
      <c r="B52" s="12">
        <v>44592</v>
      </c>
      <c r="C52" s="5">
        <f>+SUMIF('Direitos Creditórios'!B:B,Resumo!B52,'Direitos Creditórios'!A:A)</f>
        <v>14041417.69529466</v>
      </c>
      <c r="D52" s="6">
        <f t="shared" si="4"/>
        <v>31</v>
      </c>
      <c r="E52" s="9">
        <f>IF(B52&lt;'Pagamento Estimado'!$C$7-30,0,+IF((SUMIFS('Direitos Creditórios'!A:A,'Direitos Creditórios'!B:B,"&gt;="&amp;Resumo!B52,'Direitos Creditórios'!B:B,"&lt;="&amp;(WORKDAY('Pagamento Estimado'!$C$7,-30,Feriados!$A:$A))))&gt;'Pagamento Estimado'!$C$15,"Não Reter",('Pagamento Estimado'!$C$15-(SUMIFS('Direitos Creditórios'!A:A,'Direitos Creditórios'!B:B,"&lt;="&amp;Resumo!B52,'Direitos Creditórios'!B:B,"&gt;="&amp;(WORKDAY('Pagamento Estimado'!$C$7,-30,Feriados!$A:$A)))))))</f>
        <v>0</v>
      </c>
      <c r="F52" s="12" t="str">
        <f t="shared" si="5"/>
        <v xml:space="preserve"> </v>
      </c>
      <c r="G52" s="38"/>
      <c r="H52"/>
    </row>
    <row r="53" spans="2:8" x14ac:dyDescent="0.3">
      <c r="B53" s="12">
        <v>44593</v>
      </c>
      <c r="C53" s="5">
        <f>+SUMIF('Direitos Creditórios'!B:B,Resumo!B53,'Direitos Creditórios'!A:A)</f>
        <v>6181383.4177111704</v>
      </c>
      <c r="D53" s="6">
        <f t="shared" si="4"/>
        <v>32</v>
      </c>
      <c r="E53" s="9">
        <f>IF(B53&lt;'Pagamento Estimado'!$C$7-30,0,+IF((SUMIFS('Direitos Creditórios'!A:A,'Direitos Creditórios'!B:B,"&gt;="&amp;Resumo!B53,'Direitos Creditórios'!B:B,"&lt;="&amp;(WORKDAY('Pagamento Estimado'!$C$7,-30,Feriados!$A:$A))))&gt;'Pagamento Estimado'!$C$15,"Não Reter",('Pagamento Estimado'!$C$15-(SUMIFS('Direitos Creditórios'!A:A,'Direitos Creditórios'!B:B,"&lt;="&amp;Resumo!B53,'Direitos Creditórios'!B:B,"&gt;="&amp;(WORKDAY('Pagamento Estimado'!$C$7,-30,Feriados!$A:$A)))))))</f>
        <v>0</v>
      </c>
      <c r="F53" s="12" t="str">
        <f t="shared" si="5"/>
        <v xml:space="preserve"> </v>
      </c>
      <c r="G53" s="38"/>
      <c r="H53"/>
    </row>
    <row r="54" spans="2:8" x14ac:dyDescent="0.3">
      <c r="B54" s="12">
        <v>44594</v>
      </c>
      <c r="C54" s="5">
        <f>+SUMIF('Direitos Creditórios'!B:B,Resumo!B54,'Direitos Creditórios'!A:A)</f>
        <v>57705.041669712322</v>
      </c>
      <c r="D54" s="6">
        <f t="shared" si="4"/>
        <v>33</v>
      </c>
      <c r="E54" s="9">
        <f>IF(B54&lt;'Pagamento Estimado'!$C$7-30,0,+IF((SUMIFS('Direitos Creditórios'!A:A,'Direitos Creditórios'!B:B,"&gt;="&amp;Resumo!B54,'Direitos Creditórios'!B:B,"&lt;="&amp;(WORKDAY('Pagamento Estimado'!$C$7,-30,Feriados!$A:$A))))&gt;'Pagamento Estimado'!$C$15,"Não Reter",('Pagamento Estimado'!$C$15-(SUMIFS('Direitos Creditórios'!A:A,'Direitos Creditórios'!B:B,"&lt;="&amp;Resumo!B54,'Direitos Creditórios'!B:B,"&gt;="&amp;(WORKDAY('Pagamento Estimado'!$C$7,-30,Feriados!$A:$A)))))))</f>
        <v>0</v>
      </c>
      <c r="F54" s="12" t="str">
        <f t="shared" si="5"/>
        <v xml:space="preserve"> </v>
      </c>
      <c r="G54" s="38"/>
      <c r="H54"/>
    </row>
    <row r="55" spans="2:8" x14ac:dyDescent="0.3">
      <c r="B55" s="12">
        <v>44595</v>
      </c>
      <c r="C55" s="5">
        <f>+SUMIF('Direitos Creditórios'!B:B,Resumo!B55,'Direitos Creditórios'!A:A)</f>
        <v>1443065.6058863334</v>
      </c>
      <c r="D55" s="6">
        <f t="shared" si="4"/>
        <v>34</v>
      </c>
      <c r="E55" s="9">
        <f>IF(B55&lt;'Pagamento Estimado'!$C$7-30,0,+IF((SUMIFS('Direitos Creditórios'!A:A,'Direitos Creditórios'!B:B,"&gt;="&amp;Resumo!B55,'Direitos Creditórios'!B:B,"&lt;="&amp;(WORKDAY('Pagamento Estimado'!$C$7,-30,Feriados!$A:$A))))&gt;'Pagamento Estimado'!$C$15,"Não Reter",('Pagamento Estimado'!$C$15-(SUMIFS('Direitos Creditórios'!A:A,'Direitos Creditórios'!B:B,"&lt;="&amp;Resumo!B55,'Direitos Creditórios'!B:B,"&gt;="&amp;(WORKDAY('Pagamento Estimado'!$C$7,-30,Feriados!$A:$A)))))))</f>
        <v>0</v>
      </c>
      <c r="F55" s="12" t="str">
        <f t="shared" si="5"/>
        <v xml:space="preserve"> </v>
      </c>
      <c r="G55" s="38"/>
      <c r="H55"/>
    </row>
    <row r="56" spans="2:8" x14ac:dyDescent="0.3">
      <c r="B56" s="12">
        <v>44596</v>
      </c>
      <c r="C56" s="5">
        <f>+SUMIF('Direitos Creditórios'!B:B,Resumo!B56,'Direitos Creditórios'!A:A)</f>
        <v>656343.49033428542</v>
      </c>
      <c r="D56" s="6">
        <f t="shared" si="4"/>
        <v>35</v>
      </c>
      <c r="E56" s="9">
        <f>IF(B56&lt;'Pagamento Estimado'!$C$7-30,0,+IF((SUMIFS('Direitos Creditórios'!A:A,'Direitos Creditórios'!B:B,"&gt;="&amp;Resumo!B56,'Direitos Creditórios'!B:B,"&lt;="&amp;(WORKDAY('Pagamento Estimado'!$C$7,-30,Feriados!$A:$A))))&gt;'Pagamento Estimado'!$C$15,"Não Reter",('Pagamento Estimado'!$C$15-(SUMIFS('Direitos Creditórios'!A:A,'Direitos Creditórios'!B:B,"&lt;="&amp;Resumo!B56,'Direitos Creditórios'!B:B,"&gt;="&amp;(WORKDAY('Pagamento Estimado'!$C$7,-30,Feriados!$A:$A)))))))</f>
        <v>0</v>
      </c>
      <c r="F56" s="12" t="str">
        <f t="shared" si="5"/>
        <v xml:space="preserve"> </v>
      </c>
      <c r="G56" s="38"/>
      <c r="H56"/>
    </row>
    <row r="57" spans="2:8" x14ac:dyDescent="0.3">
      <c r="B57" s="12">
        <v>44599</v>
      </c>
      <c r="C57" s="5">
        <f>+SUMIF('Direitos Creditórios'!B:B,Resumo!B57,'Direitos Creditórios'!A:A)</f>
        <v>311813.96808543592</v>
      </c>
      <c r="D57" s="6">
        <f t="shared" si="4"/>
        <v>38</v>
      </c>
      <c r="E57" s="9">
        <f>IF(B57&lt;'Pagamento Estimado'!$C$7-30,0,+IF((SUMIFS('Direitos Creditórios'!A:A,'Direitos Creditórios'!B:B,"&gt;="&amp;Resumo!B57,'Direitos Creditórios'!B:B,"&lt;="&amp;(WORKDAY('Pagamento Estimado'!$C$7,-30,Feriados!$A:$A))))&gt;'Pagamento Estimado'!$C$15,"Não Reter",('Pagamento Estimado'!$C$15-(SUMIFS('Direitos Creditórios'!A:A,'Direitos Creditórios'!B:B,"&lt;="&amp;Resumo!B57,'Direitos Creditórios'!B:B,"&gt;="&amp;(WORKDAY('Pagamento Estimado'!$C$7,-30,Feriados!$A:$A)))))))</f>
        <v>0</v>
      </c>
      <c r="F57" s="12" t="str">
        <f t="shared" si="5"/>
        <v xml:space="preserve"> </v>
      </c>
      <c r="G57" s="38"/>
      <c r="H57"/>
    </row>
    <row r="58" spans="2:8" x14ac:dyDescent="0.3">
      <c r="B58" s="12">
        <v>44600</v>
      </c>
      <c r="C58" s="5">
        <f>+SUMIF('Direitos Creditórios'!B:B,Resumo!B58,'Direitos Creditórios'!A:A)</f>
        <v>112203.55725410288</v>
      </c>
      <c r="D58" s="6">
        <f t="shared" si="4"/>
        <v>39</v>
      </c>
      <c r="E58" s="9">
        <f>IF(B58&lt;'Pagamento Estimado'!$C$7-30,0,+IF((SUMIFS('Direitos Creditórios'!A:A,'Direitos Creditórios'!B:B,"&gt;="&amp;Resumo!B58,'Direitos Creditórios'!B:B,"&lt;="&amp;(WORKDAY('Pagamento Estimado'!$C$7,-30,Feriados!$A:$A))))&gt;'Pagamento Estimado'!$C$15,"Não Reter",('Pagamento Estimado'!$C$15-(SUMIFS('Direitos Creditórios'!A:A,'Direitos Creditórios'!B:B,"&lt;="&amp;Resumo!B58,'Direitos Creditórios'!B:B,"&gt;="&amp;(WORKDAY('Pagamento Estimado'!$C$7,-30,Feriados!$A:$A)))))))</f>
        <v>0</v>
      </c>
      <c r="F58" s="12" t="str">
        <f t="shared" si="5"/>
        <v xml:space="preserve"> </v>
      </c>
      <c r="G58" s="38"/>
      <c r="H58"/>
    </row>
    <row r="59" spans="2:8" x14ac:dyDescent="0.3">
      <c r="B59" s="12">
        <v>44601</v>
      </c>
      <c r="C59" s="5">
        <f>+SUMIF('Direitos Creditórios'!B:B,Resumo!B59,'Direitos Creditórios'!A:A)</f>
        <v>126690.45655927446</v>
      </c>
      <c r="D59" s="6">
        <f t="shared" si="4"/>
        <v>40</v>
      </c>
      <c r="E59" s="9">
        <f>IF(B59&lt;'Pagamento Estimado'!$C$7-30,0,+IF((SUMIFS('Direitos Creditórios'!A:A,'Direitos Creditórios'!B:B,"&gt;="&amp;Resumo!B59,'Direitos Creditórios'!B:B,"&lt;="&amp;(WORKDAY('Pagamento Estimado'!$C$7,-30,Feriados!$A:$A))))&gt;'Pagamento Estimado'!$C$15,"Não Reter",('Pagamento Estimado'!$C$15-(SUMIFS('Direitos Creditórios'!A:A,'Direitos Creditórios'!B:B,"&lt;="&amp;Resumo!B59,'Direitos Creditórios'!B:B,"&gt;="&amp;(WORKDAY('Pagamento Estimado'!$C$7,-30,Feriados!$A:$A)))))))</f>
        <v>0</v>
      </c>
      <c r="F59" s="12" t="str">
        <f t="shared" si="5"/>
        <v xml:space="preserve"> </v>
      </c>
      <c r="G59" s="38"/>
      <c r="H59"/>
    </row>
    <row r="60" spans="2:8" x14ac:dyDescent="0.3">
      <c r="B60" s="12">
        <v>44602</v>
      </c>
      <c r="C60" s="5">
        <f>+SUMIF('Direitos Creditórios'!B:B,Resumo!B60,'Direitos Creditórios'!A:A)</f>
        <v>60082.639205230036</v>
      </c>
      <c r="D60" s="6">
        <f t="shared" si="4"/>
        <v>41</v>
      </c>
      <c r="E60" s="9">
        <f>IF(B60&lt;'Pagamento Estimado'!$C$7-30,0,+IF((SUMIFS('Direitos Creditórios'!A:A,'Direitos Creditórios'!B:B,"&gt;="&amp;Resumo!B60,'Direitos Creditórios'!B:B,"&lt;="&amp;(WORKDAY('Pagamento Estimado'!$C$7,-30,Feriados!$A:$A))))&gt;'Pagamento Estimado'!$C$15,"Não Reter",('Pagamento Estimado'!$C$15-(SUMIFS('Direitos Creditórios'!A:A,'Direitos Creditórios'!B:B,"&lt;="&amp;Resumo!B60,'Direitos Creditórios'!B:B,"&gt;="&amp;(WORKDAY('Pagamento Estimado'!$C$7,-30,Feriados!$A:$A)))))))</f>
        <v>0</v>
      </c>
      <c r="F60" s="12" t="str">
        <f t="shared" si="5"/>
        <v xml:space="preserve"> </v>
      </c>
      <c r="G60" s="38"/>
      <c r="H60"/>
    </row>
    <row r="61" spans="2:8" x14ac:dyDescent="0.3">
      <c r="B61" s="12">
        <v>44603</v>
      </c>
      <c r="C61" s="5">
        <f>+SUMIF('Direitos Creditórios'!B:B,Resumo!B61,'Direitos Creditórios'!A:A)</f>
        <v>55992.134468121396</v>
      </c>
      <c r="D61" s="6">
        <f t="shared" si="4"/>
        <v>42</v>
      </c>
      <c r="E61" s="9">
        <f>IF(B61&lt;'Pagamento Estimado'!$C$7-30,0,+IF((SUMIFS('Direitos Creditórios'!A:A,'Direitos Creditórios'!B:B,"&gt;="&amp;Resumo!B61,'Direitos Creditórios'!B:B,"&lt;="&amp;(WORKDAY('Pagamento Estimado'!$C$7,-30,Feriados!$A:$A))))&gt;'Pagamento Estimado'!$C$15,"Não Reter",('Pagamento Estimado'!$C$15-(SUMIFS('Direitos Creditórios'!A:A,'Direitos Creditórios'!B:B,"&lt;="&amp;Resumo!B61,'Direitos Creditórios'!B:B,"&gt;="&amp;(WORKDAY('Pagamento Estimado'!$C$7,-30,Feriados!$A:$A)))))))</f>
        <v>0</v>
      </c>
      <c r="F61" s="12" t="str">
        <f t="shared" si="5"/>
        <v xml:space="preserve"> </v>
      </c>
      <c r="G61" s="38"/>
      <c r="H61"/>
    </row>
    <row r="62" spans="2:8" x14ac:dyDescent="0.3">
      <c r="B62" s="12">
        <v>44606</v>
      </c>
      <c r="C62" s="5">
        <f>+SUMIF('Direitos Creditórios'!B:B,Resumo!B62,'Direitos Creditórios'!A:A)</f>
        <v>878426.85929502337</v>
      </c>
      <c r="D62" s="6">
        <f t="shared" si="4"/>
        <v>45</v>
      </c>
      <c r="E62" s="9">
        <f>IF(B62&lt;'Pagamento Estimado'!$C$7-30,0,+IF((SUMIFS('Direitos Creditórios'!A:A,'Direitos Creditórios'!B:B,"&gt;="&amp;Resumo!B62,'Direitos Creditórios'!B:B,"&lt;="&amp;(WORKDAY('Pagamento Estimado'!$C$7,-30,Feriados!$A:$A))))&gt;'Pagamento Estimado'!$C$15,"Não Reter",('Pagamento Estimado'!$C$15-(SUMIFS('Direitos Creditórios'!A:A,'Direitos Creditórios'!B:B,"&lt;="&amp;Resumo!B62,'Direitos Creditórios'!B:B,"&gt;="&amp;(WORKDAY('Pagamento Estimado'!$C$7,-30,Feriados!$A:$A)))))))</f>
        <v>0</v>
      </c>
      <c r="F62" s="12" t="str">
        <f t="shared" si="5"/>
        <v xml:space="preserve"> </v>
      </c>
      <c r="G62" s="38"/>
      <c r="H62"/>
    </row>
    <row r="63" spans="2:8" x14ac:dyDescent="0.3">
      <c r="B63" s="12">
        <v>44607</v>
      </c>
      <c r="C63" s="5">
        <f>+SUMIF('Direitos Creditórios'!B:B,Resumo!B63,'Direitos Creditórios'!A:A)</f>
        <v>1017528.8846654041</v>
      </c>
      <c r="D63" s="6">
        <f t="shared" si="4"/>
        <v>46</v>
      </c>
      <c r="E63" s="9">
        <f>IF(B63&lt;'Pagamento Estimado'!$C$7-30,0,+IF((SUMIFS('Direitos Creditórios'!A:A,'Direitos Creditórios'!B:B,"&gt;="&amp;Resumo!B63,'Direitos Creditórios'!B:B,"&lt;="&amp;(WORKDAY('Pagamento Estimado'!$C$7,-30,Feriados!$A:$A))))&gt;'Pagamento Estimado'!$C$15,"Não Reter",('Pagamento Estimado'!$C$15-(SUMIFS('Direitos Creditórios'!A:A,'Direitos Creditórios'!B:B,"&lt;="&amp;Resumo!B63,'Direitos Creditórios'!B:B,"&gt;="&amp;(WORKDAY('Pagamento Estimado'!$C$7,-30,Feriados!$A:$A)))))))</f>
        <v>0</v>
      </c>
      <c r="F63" s="12" t="str">
        <f t="shared" si="5"/>
        <v xml:space="preserve"> </v>
      </c>
      <c r="G63" s="38"/>
      <c r="H63"/>
    </row>
    <row r="64" spans="2:8" x14ac:dyDescent="0.3">
      <c r="B64" s="12">
        <v>44608</v>
      </c>
      <c r="C64" s="5">
        <f>+SUMIF('Direitos Creditórios'!B:B,Resumo!B64,'Direitos Creditórios'!A:A)</f>
        <v>2085644.945324793</v>
      </c>
      <c r="D64" s="6">
        <f t="shared" si="4"/>
        <v>47</v>
      </c>
      <c r="E64" s="9">
        <f>IF(B64&lt;'Pagamento Estimado'!$C$7-30,0,+IF((SUMIFS('Direitos Creditórios'!A:A,'Direitos Creditórios'!B:B,"&gt;="&amp;Resumo!B64,'Direitos Creditórios'!B:B,"&lt;="&amp;(WORKDAY('Pagamento Estimado'!$C$7,-30,Feriados!$A:$A))))&gt;'Pagamento Estimado'!$C$15,"Não Reter",('Pagamento Estimado'!$C$15-(SUMIFS('Direitos Creditórios'!A:A,'Direitos Creditórios'!B:B,"&lt;="&amp;Resumo!B64,'Direitos Creditórios'!B:B,"&gt;="&amp;(WORKDAY('Pagamento Estimado'!$C$7,-30,Feriados!$A:$A)))))))</f>
        <v>0</v>
      </c>
      <c r="F64" s="12" t="str">
        <f t="shared" si="5"/>
        <v xml:space="preserve"> </v>
      </c>
      <c r="G64" s="38"/>
      <c r="H64"/>
    </row>
    <row r="65" spans="2:8" x14ac:dyDescent="0.3">
      <c r="B65" s="12">
        <v>44609</v>
      </c>
      <c r="C65" s="5">
        <f>+SUMIF('Direitos Creditórios'!B:B,Resumo!B65,'Direitos Creditórios'!A:A)</f>
        <v>48141.725809727242</v>
      </c>
      <c r="D65" s="6">
        <f t="shared" si="4"/>
        <v>48</v>
      </c>
      <c r="E65" s="9">
        <f>IF(B65&lt;'Pagamento Estimado'!$C$7-30,0,+IF((SUMIFS('Direitos Creditórios'!A:A,'Direitos Creditórios'!B:B,"&gt;="&amp;Resumo!B65,'Direitos Creditórios'!B:B,"&lt;="&amp;(WORKDAY('Pagamento Estimado'!$C$7,-30,Feriados!$A:$A))))&gt;'Pagamento Estimado'!$C$15,"Não Reter",('Pagamento Estimado'!$C$15-(SUMIFS('Direitos Creditórios'!A:A,'Direitos Creditórios'!B:B,"&lt;="&amp;Resumo!B65,'Direitos Creditórios'!B:B,"&gt;="&amp;(WORKDAY('Pagamento Estimado'!$C$7,-30,Feriados!$A:$A)))))))</f>
        <v>0</v>
      </c>
      <c r="F65" s="12" t="str">
        <f t="shared" si="5"/>
        <v xml:space="preserve"> </v>
      </c>
      <c r="G65" s="38"/>
      <c r="H65"/>
    </row>
    <row r="66" spans="2:8" x14ac:dyDescent="0.3">
      <c r="B66" s="12">
        <v>44610</v>
      </c>
      <c r="C66" s="5">
        <f>+SUMIF('Direitos Creditórios'!B:B,Resumo!B66,'Direitos Creditórios'!A:A)</f>
        <v>62933.64128621803</v>
      </c>
      <c r="D66" s="6">
        <f t="shared" si="4"/>
        <v>49</v>
      </c>
      <c r="E66" s="9">
        <f>IF(B66&lt;'Pagamento Estimado'!$C$7-30,0,+IF((SUMIFS('Direitos Creditórios'!A:A,'Direitos Creditórios'!B:B,"&gt;="&amp;Resumo!B66,'Direitos Creditórios'!B:B,"&lt;="&amp;(WORKDAY('Pagamento Estimado'!$C$7,-30,Feriados!$A:$A))))&gt;'Pagamento Estimado'!$C$15,"Não Reter",('Pagamento Estimado'!$C$15-(SUMIFS('Direitos Creditórios'!A:A,'Direitos Creditórios'!B:B,"&lt;="&amp;Resumo!B66,'Direitos Creditórios'!B:B,"&gt;="&amp;(WORKDAY('Pagamento Estimado'!$C$7,-30,Feriados!$A:$A)))))))</f>
        <v>0</v>
      </c>
      <c r="F66" s="12" t="str">
        <f t="shared" si="5"/>
        <v xml:space="preserve"> </v>
      </c>
      <c r="G66" s="38"/>
      <c r="H66"/>
    </row>
    <row r="67" spans="2:8" x14ac:dyDescent="0.3">
      <c r="B67" s="12">
        <v>44613</v>
      </c>
      <c r="C67" s="5">
        <f>+SUMIF('Direitos Creditórios'!B:B,Resumo!B67,'Direitos Creditórios'!A:A)</f>
        <v>11631358.307922836</v>
      </c>
      <c r="D67" s="6">
        <f t="shared" si="4"/>
        <v>52</v>
      </c>
      <c r="E67" s="9">
        <f>IF(B67&lt;'Pagamento Estimado'!$C$7-30,0,+IF((SUMIFS('Direitos Creditórios'!A:A,'Direitos Creditórios'!B:B,"&gt;="&amp;Resumo!B67,'Direitos Creditórios'!B:B,"&lt;="&amp;(WORKDAY('Pagamento Estimado'!$C$7,-30,Feriados!$A:$A))))&gt;'Pagamento Estimado'!$C$15,"Não Reter",('Pagamento Estimado'!$C$15-(SUMIFS('Direitos Creditórios'!A:A,'Direitos Creditórios'!B:B,"&lt;="&amp;Resumo!B67,'Direitos Creditórios'!B:B,"&gt;="&amp;(WORKDAY('Pagamento Estimado'!$C$7,-30,Feriados!$A:$A)))))))</f>
        <v>0</v>
      </c>
      <c r="F67" s="12" t="str">
        <f t="shared" si="5"/>
        <v xml:space="preserve"> </v>
      </c>
      <c r="G67" s="38"/>
      <c r="H67"/>
    </row>
    <row r="68" spans="2:8" x14ac:dyDescent="0.3">
      <c r="B68" s="12">
        <v>44614</v>
      </c>
      <c r="C68" s="5">
        <f>+SUMIF('Direitos Creditórios'!B:B,Resumo!B68,'Direitos Creditórios'!A:A)</f>
        <v>41606327.819702886</v>
      </c>
      <c r="D68" s="6">
        <f t="shared" si="4"/>
        <v>53</v>
      </c>
      <c r="E68" s="9">
        <f>IF(B68&lt;'Pagamento Estimado'!$C$7-30,0,+IF((SUMIFS('Direitos Creditórios'!A:A,'Direitos Creditórios'!B:B,"&gt;="&amp;Resumo!B68,'Direitos Creditórios'!B:B,"&lt;="&amp;(WORKDAY('Pagamento Estimado'!$C$7,-30,Feriados!$A:$A))))&gt;'Pagamento Estimado'!$C$15,"Não Reter",('Pagamento Estimado'!$C$15-(SUMIFS('Direitos Creditórios'!A:A,'Direitos Creditórios'!B:B,"&lt;="&amp;Resumo!B68,'Direitos Creditórios'!B:B,"&gt;="&amp;(WORKDAY('Pagamento Estimado'!$C$7,-30,Feriados!$A:$A)))))))</f>
        <v>0</v>
      </c>
      <c r="F68" s="12" t="str">
        <f t="shared" si="5"/>
        <v xml:space="preserve"> </v>
      </c>
      <c r="G68" s="38"/>
      <c r="H68"/>
    </row>
    <row r="69" spans="2:8" x14ac:dyDescent="0.3">
      <c r="B69" s="12">
        <v>44615</v>
      </c>
      <c r="C69" s="5">
        <f>+SUMIF('Direitos Creditórios'!B:B,Resumo!B69,'Direitos Creditórios'!A:A)</f>
        <v>32711514.52400564</v>
      </c>
      <c r="D69" s="6">
        <f t="shared" si="4"/>
        <v>54</v>
      </c>
      <c r="E69" s="9">
        <f>IF(B69&lt;'Pagamento Estimado'!$C$7-30,0,+IF((SUMIFS('Direitos Creditórios'!A:A,'Direitos Creditórios'!B:B,"&gt;="&amp;Resumo!B69,'Direitos Creditórios'!B:B,"&lt;="&amp;(WORKDAY('Pagamento Estimado'!$C$7,-1,Feriados!$A:$A))))&gt;'Pagamento Estimado'!$C$15,"Não Reter",('Pagamento Estimado'!$C$15-(SUMIFS('Direitos Creditórios'!A:A,'Direitos Creditórios'!B:B,"&lt;="&amp;Resumo!B69,'Direitos Creditórios'!B:B,"&gt;="&amp;(WORKDAY('Pagamento Estimado'!$C$7,-30,Feriados!$A:$A)))))))</f>
        <v>0</v>
      </c>
      <c r="F69" s="12" t="str">
        <f t="shared" si="5"/>
        <v xml:space="preserve"> </v>
      </c>
      <c r="G69" s="38"/>
      <c r="H69"/>
    </row>
    <row r="70" spans="2:8" x14ac:dyDescent="0.3">
      <c r="B70" s="12">
        <v>44616</v>
      </c>
      <c r="C70" s="5">
        <f>+SUMIF('Direitos Creditórios'!B:B,Resumo!B70,'Direitos Creditórios'!A:A)</f>
        <v>30870817.857982069</v>
      </c>
      <c r="D70" s="6">
        <f t="shared" si="4"/>
        <v>55</v>
      </c>
      <c r="E70" s="9">
        <f>IF(B70&lt;'Pagamento Estimado'!$C$7-30,0,+IF((SUMIFS('Direitos Creditórios'!A:A,'Direitos Creditórios'!B:B,"&gt;="&amp;Resumo!B70,'Direitos Creditórios'!B:B,"&lt;="&amp;(WORKDAY('Pagamento Estimado'!$C$7,-30,Feriados!$A:$A))))&gt;'Pagamento Estimado'!$C$15,"Não Reter",('Pagamento Estimado'!$C$15-(SUMIFS('Direitos Creditórios'!A:A,'Direitos Creditórios'!B:B,"&lt;="&amp;Resumo!B70,'Direitos Creditórios'!B:B,"&gt;="&amp;(WORKDAY('Pagamento Estimado'!$C$7,-30,Feriados!$A:$A)))))))</f>
        <v>0</v>
      </c>
      <c r="F70" s="12" t="str">
        <f t="shared" si="5"/>
        <v xml:space="preserve"> </v>
      </c>
      <c r="G70" s="38"/>
      <c r="H70"/>
    </row>
    <row r="71" spans="2:8" x14ac:dyDescent="0.3">
      <c r="B71" s="12">
        <v>44617</v>
      </c>
      <c r="C71" s="5">
        <f>+SUMIF('Direitos Creditórios'!B:B,Resumo!B71,'Direitos Creditórios'!A:A)</f>
        <v>12882340.989661627</v>
      </c>
      <c r="D71" s="6">
        <f t="shared" si="4"/>
        <v>56</v>
      </c>
      <c r="E71" s="9">
        <f>IF(B71&lt;'Pagamento Estimado'!$C$7-30,0,+IF((SUMIFS('Direitos Creditórios'!A:A,'Direitos Creditórios'!B:B,"&gt;="&amp;Resumo!B71,'Direitos Creditórios'!B:B,"&lt;="&amp;(WORKDAY('Pagamento Estimado'!$C$7,-30,Feriados!$A:$A))))&gt;'Pagamento Estimado'!$C$15,"Não Reter",('Pagamento Estimado'!$C$15-(SUMIFS('Direitos Creditórios'!A:A,'Direitos Creditórios'!B:B,"&lt;="&amp;Resumo!B71,'Direitos Creditórios'!B:B,"&gt;="&amp;(WORKDAY('Pagamento Estimado'!$C$7,-30,Feriados!$A:$A)))))))</f>
        <v>0</v>
      </c>
      <c r="F71" s="12" t="str">
        <f t="shared" si="5"/>
        <v xml:space="preserve"> </v>
      </c>
      <c r="G71" s="38"/>
      <c r="H71"/>
    </row>
    <row r="72" spans="2:8" x14ac:dyDescent="0.3">
      <c r="B72" s="12">
        <v>44622</v>
      </c>
      <c r="C72" s="5">
        <f>+SUMIF('Direitos Creditórios'!B:B,Resumo!B72,'Direitos Creditórios'!A:A)</f>
        <v>52678460.398707978</v>
      </c>
      <c r="D72" s="6">
        <f t="shared" si="4"/>
        <v>61</v>
      </c>
      <c r="E72" s="9">
        <f>IF(B72&lt;'Pagamento Estimado'!$C$7-30,0,+IF((SUMIFS('Direitos Creditórios'!A:A,'Direitos Creditórios'!B:B,"&gt;="&amp;Resumo!B72,'Direitos Creditórios'!B:B,"&lt;="&amp;(WORKDAY('Pagamento Estimado'!$C$7,-30,Feriados!$A:$A))))&gt;'Pagamento Estimado'!$C$15,"Não Reter",('Pagamento Estimado'!$C$15-(SUMIFS('Direitos Creditórios'!A:A,'Direitos Creditórios'!B:B,"&lt;="&amp;Resumo!B72,'Direitos Creditórios'!B:B,"&gt;="&amp;(WORKDAY('Pagamento Estimado'!$C$7,-30,Feriados!$A:$A)))))))</f>
        <v>-151374362.35365593</v>
      </c>
      <c r="F72" s="12" t="str">
        <f t="shared" si="5"/>
        <v>Retenção Completa</v>
      </c>
      <c r="G72" s="38"/>
      <c r="H72"/>
    </row>
    <row r="73" spans="2:8" x14ac:dyDescent="0.3">
      <c r="B73" s="12">
        <v>44623</v>
      </c>
      <c r="C73" s="5">
        <f>+SUMIF('Direitos Creditórios'!B:B,Resumo!B73,'Direitos Creditórios'!A:A)</f>
        <v>12502662.546518486</v>
      </c>
      <c r="D73" s="6">
        <f t="shared" si="4"/>
        <v>62</v>
      </c>
      <c r="E73" s="9">
        <f>IF(B73&lt;'Pagamento Estimado'!$C$7-30,0,+IF((SUMIFS('Direitos Creditórios'!A:A,'Direitos Creditórios'!B:B,"&gt;="&amp;Resumo!B73,'Direitos Creditórios'!B:B,"&lt;="&amp;(WORKDAY('Pagamento Estimado'!$C$7,-30,Feriados!$A:$A))))&gt;'Pagamento Estimado'!$C$15,"Não Reter",('Pagamento Estimado'!$C$15-(SUMIFS('Direitos Creditórios'!A:A,'Direitos Creditórios'!B:B,"&lt;="&amp;Resumo!B73,'Direitos Creditórios'!B:B,"&gt;="&amp;(WORKDAY('Pagamento Estimado'!$C$7,-30,Feriados!$A:$A)))))))</f>
        <v>-163877024.90017444</v>
      </c>
      <c r="F73" s="12" t="str">
        <f t="shared" si="5"/>
        <v>Retenção Completa</v>
      </c>
      <c r="G73" s="38"/>
      <c r="H73"/>
    </row>
    <row r="74" spans="2:8" x14ac:dyDescent="0.3">
      <c r="B74" s="12">
        <v>44624</v>
      </c>
      <c r="C74" s="5">
        <f>+SUMIF('Direitos Creditórios'!B:B,Resumo!B74,'Direitos Creditórios'!A:A)</f>
        <v>2480591.7055059713</v>
      </c>
      <c r="D74" s="6">
        <f t="shared" si="4"/>
        <v>63</v>
      </c>
      <c r="E74" s="9">
        <f>IF(B74&lt;'Pagamento Estimado'!$C$7-30,0,+IF((SUMIFS('Direitos Creditórios'!A:A,'Direitos Creditórios'!B:B,"&gt;="&amp;Resumo!B74,'Direitos Creditórios'!B:B,"&lt;="&amp;(WORKDAY('Pagamento Estimado'!$C$7,-30,Feriados!$A:$A))))&gt;'Pagamento Estimado'!$C$15,"Não Reter",('Pagamento Estimado'!$C$15-(SUMIFS('Direitos Creditórios'!A:A,'Direitos Creditórios'!B:B,"&lt;="&amp;Resumo!B74,'Direitos Creditórios'!B:B,"&gt;="&amp;(WORKDAY('Pagamento Estimado'!$C$7,-30,Feriados!$A:$A)))))))</f>
        <v>-166357616.60568041</v>
      </c>
      <c r="F74" s="12" t="str">
        <f t="shared" si="5"/>
        <v>Retenção Completa</v>
      </c>
      <c r="G74" s="38"/>
      <c r="H74"/>
    </row>
    <row r="75" spans="2:8" x14ac:dyDescent="0.3">
      <c r="B75" s="12">
        <v>44627</v>
      </c>
      <c r="C75" s="5">
        <f>+SUMIF('Direitos Creditórios'!B:B,Resumo!B75,'Direitos Creditórios'!A:A)</f>
        <v>17432423.492655113</v>
      </c>
      <c r="D75" s="6">
        <f t="shared" si="4"/>
        <v>66</v>
      </c>
      <c r="E75" s="9">
        <f>IF(B75&lt;'Pagamento Estimado'!$C$7-30,0,+IF((SUMIFS('Direitos Creditórios'!A:A,'Direitos Creditórios'!B:B,"&gt;="&amp;Resumo!B75,'Direitos Creditórios'!B:B,"&lt;="&amp;(WORKDAY('Pagamento Estimado'!$C$7,-30,Feriados!$A:$A))))&gt;'Pagamento Estimado'!$C$15,"Não Reter",('Pagamento Estimado'!$C$15-(SUMIFS('Direitos Creditórios'!A:A,'Direitos Creditórios'!B:B,"&lt;="&amp;Resumo!B75,'Direitos Creditórios'!B:B,"&gt;="&amp;(WORKDAY('Pagamento Estimado'!$C$7,-30,Feriados!$A:$A)))))))</f>
        <v>-183790040.0983355</v>
      </c>
      <c r="F75" s="12" t="str">
        <f t="shared" si="5"/>
        <v>Retenção Completa</v>
      </c>
      <c r="G75" s="38"/>
      <c r="H75"/>
    </row>
    <row r="76" spans="2:8" x14ac:dyDescent="0.3">
      <c r="B76" s="12">
        <v>44628</v>
      </c>
      <c r="C76" s="5">
        <f>+SUMIF('Direitos Creditórios'!B:B,Resumo!B76,'Direitos Creditórios'!A:A)</f>
        <v>6888953.79185382</v>
      </c>
      <c r="D76" s="6">
        <f t="shared" si="4"/>
        <v>67</v>
      </c>
      <c r="E76" s="9">
        <f>IF(B76&lt;'Pagamento Estimado'!$C$7-30,0,+IF((SUMIFS('Direitos Creditórios'!A:A,'Direitos Creditórios'!B:B,"&gt;="&amp;Resumo!B76,'Direitos Creditórios'!B:B,"&lt;="&amp;(WORKDAY('Pagamento Estimado'!$C$7,-30,Feriados!$A:$A))))&gt;'Pagamento Estimado'!$C$15,"Não Reter",('Pagamento Estimado'!$C$15-(SUMIFS('Direitos Creditórios'!A:A,'Direitos Creditórios'!B:B,"&lt;="&amp;Resumo!B76,'Direitos Creditórios'!B:B,"&gt;="&amp;(WORKDAY('Pagamento Estimado'!$C$7,-30,Feriados!$A:$A)))))))</f>
        <v>-190678993.89018932</v>
      </c>
      <c r="F76" s="12" t="str">
        <f t="shared" si="5"/>
        <v>Retenção Completa</v>
      </c>
      <c r="G76" s="38"/>
      <c r="H76"/>
    </row>
    <row r="77" spans="2:8" x14ac:dyDescent="0.3">
      <c r="B77" s="12">
        <v>44629</v>
      </c>
      <c r="C77" s="5">
        <f>+SUMIF('Direitos Creditórios'!B:B,Resumo!B77,'Direitos Creditórios'!A:A)</f>
        <v>16907665.752551354</v>
      </c>
      <c r="D77" s="6">
        <f t="shared" si="4"/>
        <v>68</v>
      </c>
      <c r="E77" s="9">
        <f>IF(B77&lt;'Pagamento Estimado'!$C$7-30,0,+IF((SUMIFS('Direitos Creditórios'!A:A,'Direitos Creditórios'!B:B,"&gt;="&amp;Resumo!B77,'Direitos Creditórios'!B:B,"&lt;="&amp;(WORKDAY('Pagamento Estimado'!$C$7,-30,Feriados!$A:$A))))&gt;'Pagamento Estimado'!$C$15,"Não Reter",('Pagamento Estimado'!$C$15-(SUMIFS('Direitos Creditórios'!A:A,'Direitos Creditórios'!B:B,"&lt;="&amp;Resumo!B77,'Direitos Creditórios'!B:B,"&gt;="&amp;(WORKDAY('Pagamento Estimado'!$C$7,-30,Feriados!$A:$A)))))))</f>
        <v>-207586659.64274067</v>
      </c>
      <c r="F77" s="12" t="str">
        <f t="shared" si="5"/>
        <v>Retenção Completa</v>
      </c>
      <c r="G77" s="38"/>
      <c r="H77"/>
    </row>
    <row r="78" spans="2:8" x14ac:dyDescent="0.3">
      <c r="B78" s="12">
        <v>44630</v>
      </c>
      <c r="C78" s="5">
        <f>+SUMIF('Direitos Creditórios'!B:B,Resumo!B78,'Direitos Creditórios'!A:A)</f>
        <v>1600904.0681037598</v>
      </c>
      <c r="D78" s="6">
        <f t="shared" si="4"/>
        <v>69</v>
      </c>
      <c r="E78" s="9">
        <f>IF(B78&lt;'Pagamento Estimado'!$C$7-30,0,+IF((SUMIFS('Direitos Creditórios'!A:A,'Direitos Creditórios'!B:B,"&gt;="&amp;Resumo!B78,'Direitos Creditórios'!B:B,"&lt;="&amp;(WORKDAY('Pagamento Estimado'!$C$7,-30,Feriados!$A:$A))))&gt;'Pagamento Estimado'!$C$15,"Não Reter",('Pagamento Estimado'!$C$15-(SUMIFS('Direitos Creditórios'!A:A,'Direitos Creditórios'!B:B,"&lt;="&amp;Resumo!B78,'Direitos Creditórios'!B:B,"&gt;="&amp;(WORKDAY('Pagamento Estimado'!$C$7,-30,Feriados!$A:$A)))))))</f>
        <v>-209187563.71084443</v>
      </c>
      <c r="F78" s="12" t="str">
        <f t="shared" si="5"/>
        <v>Retenção Completa</v>
      </c>
      <c r="G78" s="38"/>
      <c r="H78"/>
    </row>
    <row r="79" spans="2:8" hidden="1" x14ac:dyDescent="0.3">
      <c r="B79" s="12">
        <v>44631</v>
      </c>
      <c r="C79" s="5">
        <f>+SUMIF('Direitos Creditórios'!B:B,Resumo!B79,'Direitos Creditórios'!A:A)</f>
        <v>0</v>
      </c>
      <c r="D79" s="6">
        <f t="shared" si="4"/>
        <v>70</v>
      </c>
      <c r="E79" s="9">
        <f>IF(B79&lt;'Pagamento Estimado'!$C$7-30,0,+IF((SUMIFS('Direitos Creditórios'!A:A,'Direitos Creditórios'!B:B,"&gt;="&amp;Resumo!B79,'Direitos Creditórios'!B:B,"&lt;="&amp;(WORKDAY('Pagamento Estimado'!$C$7,-30,Feriados!$A:$A))))&gt;'Pagamento Estimado'!$C$15,"Não Reter",('Pagamento Estimado'!$C$15-(SUMIFS('Direitos Creditórios'!A:A,'Direitos Creditórios'!B:B,"&lt;="&amp;Resumo!B79,'Direitos Creditórios'!B:B,"&gt;="&amp;(WORKDAY('Pagamento Estimado'!$C$7,-30,Feriados!$A:$A)))))))</f>
        <v>-209187563.71084443</v>
      </c>
      <c r="F79" s="12" t="str">
        <f t="shared" si="5"/>
        <v>Retenção Completa</v>
      </c>
      <c r="G79" s="38"/>
      <c r="H79"/>
    </row>
    <row r="80" spans="2:8" x14ac:dyDescent="0.3">
      <c r="B80" s="12">
        <v>44634</v>
      </c>
      <c r="C80" s="5">
        <f>+SUMIF('Direitos Creditórios'!B:B,Resumo!B80,'Direitos Creditórios'!A:A)</f>
        <v>2899707.7499682489</v>
      </c>
      <c r="D80" s="6">
        <f t="shared" si="4"/>
        <v>73</v>
      </c>
      <c r="E80" s="9">
        <f>IF(B80&lt;'Pagamento Estimado'!$C$7-30,0,+IF((SUMIFS('Direitos Creditórios'!A:A,'Direitos Creditórios'!B:B,"&gt;="&amp;Resumo!B80,'Direitos Creditórios'!B:B,"&lt;="&amp;(WORKDAY('Pagamento Estimado'!$C$7,-30,Feriados!$A:$A))))&gt;'Pagamento Estimado'!$C$15,"Não Reter",('Pagamento Estimado'!$C$15-(SUMIFS('Direitos Creditórios'!A:A,'Direitos Creditórios'!B:B,"&lt;="&amp;Resumo!B80,'Direitos Creditórios'!B:B,"&gt;="&amp;(WORKDAY('Pagamento Estimado'!$C$7,-30,Feriados!$A:$A)))))))</f>
        <v>-212087271.46081272</v>
      </c>
      <c r="F80" s="12" t="str">
        <f t="shared" si="5"/>
        <v>Retenção Completa</v>
      </c>
      <c r="G80" s="38"/>
      <c r="H80"/>
    </row>
    <row r="81" spans="2:8" x14ac:dyDescent="0.3">
      <c r="B81" s="12">
        <v>44635</v>
      </c>
      <c r="C81" s="5">
        <f>+SUMIF('Direitos Creditórios'!B:B,Resumo!B81,'Direitos Creditórios'!A:A)</f>
        <v>15765887.38463893</v>
      </c>
      <c r="D81" s="6">
        <f t="shared" si="4"/>
        <v>74</v>
      </c>
      <c r="E81" s="9">
        <f>IF(B81&lt;'Pagamento Estimado'!$C$7-30,0,+IF((SUMIFS('Direitos Creditórios'!A:A,'Direitos Creditórios'!B:B,"&gt;="&amp;Resumo!B81,'Direitos Creditórios'!B:B,"&lt;="&amp;(WORKDAY('Pagamento Estimado'!$C$7,-30,Feriados!$A:$A))))&gt;'Pagamento Estimado'!$C$15,"Não Reter",('Pagamento Estimado'!$C$15-(SUMIFS('Direitos Creditórios'!A:A,'Direitos Creditórios'!B:B,"&lt;="&amp;Resumo!B81,'Direitos Creditórios'!B:B,"&gt;="&amp;(WORKDAY('Pagamento Estimado'!$C$7,-30,Feriados!$A:$A)))))))</f>
        <v>-227853158.84545162</v>
      </c>
      <c r="F81" s="12" t="str">
        <f t="shared" si="5"/>
        <v>Retenção Completa</v>
      </c>
      <c r="G81" s="38"/>
      <c r="H81"/>
    </row>
    <row r="82" spans="2:8" hidden="1" x14ac:dyDescent="0.3">
      <c r="B82" s="12">
        <v>44636</v>
      </c>
      <c r="C82" s="5">
        <f>+SUMIF('Direitos Creditórios'!B:B,Resumo!B82,'Direitos Creditórios'!A:A)</f>
        <v>0</v>
      </c>
      <c r="D82" s="6">
        <f t="shared" si="4"/>
        <v>75</v>
      </c>
      <c r="E82" s="9">
        <f>IF(B82&lt;'Pagamento Estimado'!$C$7-30,0,+IF((SUMIFS('Direitos Creditórios'!A:A,'Direitos Creditórios'!B:B,"&gt;="&amp;Resumo!B82,'Direitos Creditórios'!B:B,"&lt;="&amp;(WORKDAY('Pagamento Estimado'!$C$7,-30,Feriados!$A:$A))))&gt;'Pagamento Estimado'!$C$15,"Não Reter",('Pagamento Estimado'!$C$15-(SUMIFS('Direitos Creditórios'!A:A,'Direitos Creditórios'!B:B,"&lt;="&amp;Resumo!B82,'Direitos Creditórios'!B:B,"&gt;="&amp;(WORKDAY('Pagamento Estimado'!$C$7,-30,Feriados!$A:$A)))))))</f>
        <v>-227853158.84545162</v>
      </c>
      <c r="F82" s="12" t="str">
        <f t="shared" si="5"/>
        <v>Retenção Completa</v>
      </c>
      <c r="G82" s="38"/>
      <c r="H82"/>
    </row>
    <row r="83" spans="2:8" x14ac:dyDescent="0.3">
      <c r="B83" s="12">
        <v>44637</v>
      </c>
      <c r="C83" s="5">
        <f>+SUMIF('Direitos Creditórios'!B:B,Resumo!B83,'Direitos Creditórios'!A:A)</f>
        <v>24785.686775458984</v>
      </c>
      <c r="D83" s="6">
        <f t="shared" si="4"/>
        <v>76</v>
      </c>
      <c r="E83" s="9">
        <f>IF(B83&lt;'Pagamento Estimado'!$C$7-30,0,+IF((SUMIFS('Direitos Creditórios'!A:A,'Direitos Creditórios'!B:B,"&gt;="&amp;Resumo!B83,'Direitos Creditórios'!B:B,"&lt;="&amp;(WORKDAY('Pagamento Estimado'!$C$7,-30,Feriados!$A:$A))))&gt;'Pagamento Estimado'!$C$15,"Não Reter",('Pagamento Estimado'!$C$15-(SUMIFS('Direitos Creditórios'!A:A,'Direitos Creditórios'!B:B,"&lt;="&amp;Resumo!B83,'Direitos Creditórios'!B:B,"&gt;="&amp;(WORKDAY('Pagamento Estimado'!$C$7,-30,Feriados!$A:$A)))))))</f>
        <v>-227877944.53222707</v>
      </c>
      <c r="F83" s="12" t="str">
        <f t="shared" si="5"/>
        <v>Retenção Completa</v>
      </c>
      <c r="G83" s="38"/>
      <c r="H83"/>
    </row>
    <row r="84" spans="2:8" x14ac:dyDescent="0.3">
      <c r="B84" s="12">
        <v>44638</v>
      </c>
      <c r="C84" s="5">
        <f>+SUMIF('Direitos Creditórios'!B:B,Resumo!B84,'Direitos Creditórios'!A:A)</f>
        <v>16687.329363599427</v>
      </c>
      <c r="D84" s="6">
        <f t="shared" si="4"/>
        <v>77</v>
      </c>
      <c r="E84" s="9">
        <f>IF(B84&lt;'Pagamento Estimado'!$C$7-30,0,+IF((SUMIFS('Direitos Creditórios'!A:A,'Direitos Creditórios'!B:B,"&gt;="&amp;Resumo!B84,'Direitos Creditórios'!B:B,"&lt;="&amp;(WORKDAY('Pagamento Estimado'!$C$7,-30,Feriados!$A:$A))))&gt;'Pagamento Estimado'!$C$15,"Não Reter",('Pagamento Estimado'!$C$15-(SUMIFS('Direitos Creditórios'!A:A,'Direitos Creditórios'!B:B,"&lt;="&amp;Resumo!B84,'Direitos Creditórios'!B:B,"&gt;="&amp;(WORKDAY('Pagamento Estimado'!$C$7,-30,Feriados!$A:$A)))))))</f>
        <v>-227894631.86159071</v>
      </c>
      <c r="F84" s="12" t="str">
        <f t="shared" si="5"/>
        <v>Retenção Completa</v>
      </c>
      <c r="G84" s="38"/>
      <c r="H84"/>
    </row>
    <row r="85" spans="2:8" x14ac:dyDescent="0.3">
      <c r="B85" s="12">
        <v>44641</v>
      </c>
      <c r="C85" s="5">
        <f>+SUMIF('Direitos Creditórios'!B:B,Resumo!B85,'Direitos Creditórios'!A:A)</f>
        <v>40030941.152139463</v>
      </c>
      <c r="D85" s="6">
        <f t="shared" si="4"/>
        <v>80</v>
      </c>
      <c r="E85" s="9">
        <f>IF(B85&lt;'Pagamento Estimado'!$C$7-30,0,+IF((SUMIFS('Direitos Creditórios'!A:A,'Direitos Creditórios'!B:B,"&gt;="&amp;Resumo!B85,'Direitos Creditórios'!B:B,"&lt;="&amp;(WORKDAY('Pagamento Estimado'!$C$7,-30,Feriados!$A:$A))))&gt;'Pagamento Estimado'!$C$15,"Não Reter",('Pagamento Estimado'!$C$15-(SUMIFS('Direitos Creditórios'!A:A,'Direitos Creditórios'!B:B,"&lt;="&amp;Resumo!B85,'Direitos Creditórios'!B:B,"&gt;="&amp;(WORKDAY('Pagamento Estimado'!$C$7,-30,Feriados!$A:$A)))))))</f>
        <v>-267925573.0137302</v>
      </c>
      <c r="F85" s="12" t="str">
        <f t="shared" si="5"/>
        <v>Retenção Completa</v>
      </c>
      <c r="G85" s="38"/>
      <c r="H85"/>
    </row>
    <row r="86" spans="2:8" x14ac:dyDescent="0.3">
      <c r="B86" s="12">
        <v>44642</v>
      </c>
      <c r="C86" s="5">
        <f>+SUMIF('Direitos Creditórios'!B:B,Resumo!B86,'Direitos Creditórios'!A:A)</f>
        <v>17272469.799095124</v>
      </c>
      <c r="D86" s="6">
        <f t="shared" si="4"/>
        <v>81</v>
      </c>
      <c r="E86" s="9">
        <f>IF(B86&lt;'Pagamento Estimado'!$C$7-30,0,+IF((SUMIFS('Direitos Creditórios'!A:A,'Direitos Creditórios'!B:B,"&gt;="&amp;Resumo!B86,'Direitos Creditórios'!B:B,"&lt;="&amp;(WORKDAY('Pagamento Estimado'!$C$7,-30,Feriados!$A:$A))))&gt;'Pagamento Estimado'!$C$15,"Não Reter",('Pagamento Estimado'!$C$15-(SUMIFS('Direitos Creditórios'!A:A,'Direitos Creditórios'!B:B,"&lt;="&amp;Resumo!B86,'Direitos Creditórios'!B:B,"&gt;="&amp;(WORKDAY('Pagamento Estimado'!$C$7,-30,Feriados!$A:$A)))))))</f>
        <v>-285198042.81282532</v>
      </c>
      <c r="F86" s="12" t="str">
        <f t="shared" si="5"/>
        <v>Retenção Completa</v>
      </c>
      <c r="G86" s="38"/>
      <c r="H86"/>
    </row>
    <row r="87" spans="2:8" x14ac:dyDescent="0.3">
      <c r="B87" s="12">
        <v>44643</v>
      </c>
      <c r="C87" s="5">
        <f>+SUMIF('Direitos Creditórios'!B:B,Resumo!B87,'Direitos Creditórios'!A:A)</f>
        <v>19337248.260195542</v>
      </c>
      <c r="D87" s="6">
        <f t="shared" si="4"/>
        <v>82</v>
      </c>
      <c r="E87" s="9">
        <f>IF(B87&lt;'Pagamento Estimado'!$C$7-30,0,+IF((SUMIFS('Direitos Creditórios'!A:A,'Direitos Creditórios'!B:B,"&gt;="&amp;Resumo!B87,'Direitos Creditórios'!B:B,"&lt;="&amp;(WORKDAY('Pagamento Estimado'!$C$7,-30,Feriados!$A:$A))))&gt;'Pagamento Estimado'!$C$15,"Não Reter",('Pagamento Estimado'!$C$15-(SUMIFS('Direitos Creditórios'!A:A,'Direitos Creditórios'!B:B,"&lt;="&amp;Resumo!B87,'Direitos Creditórios'!B:B,"&gt;="&amp;(WORKDAY('Pagamento Estimado'!$C$7,-30,Feriados!$A:$A)))))))</f>
        <v>-304535291.07302082</v>
      </c>
      <c r="F87" s="12" t="str">
        <f t="shared" si="5"/>
        <v>Retenção Completa</v>
      </c>
      <c r="G87" s="38"/>
      <c r="H87"/>
    </row>
    <row r="88" spans="2:8" x14ac:dyDescent="0.3">
      <c r="B88" s="12">
        <v>44644</v>
      </c>
      <c r="C88" s="5">
        <f>+SUMIF('Direitos Creditórios'!B:B,Resumo!B88,'Direitos Creditórios'!A:A)</f>
        <v>11854657.815712627</v>
      </c>
      <c r="D88" s="6">
        <f t="shared" si="4"/>
        <v>83</v>
      </c>
      <c r="E88" s="9">
        <f>IF(B88&lt;'Pagamento Estimado'!$C$7-30,0,+IF((SUMIFS('Direitos Creditórios'!A:A,'Direitos Creditórios'!B:B,"&gt;="&amp;Resumo!B88,'Direitos Creditórios'!B:B,"&lt;="&amp;(WORKDAY('Pagamento Estimado'!$C$7,-30,Feriados!$A:$A))))&gt;'Pagamento Estimado'!$C$15,"Não Reter",('Pagamento Estimado'!$C$15-(SUMIFS('Direitos Creditórios'!A:A,'Direitos Creditórios'!B:B,"&lt;="&amp;Resumo!B88,'Direitos Creditórios'!B:B,"&gt;="&amp;(WORKDAY('Pagamento Estimado'!$C$7,-30,Feriados!$A:$A)))))))</f>
        <v>-316389948.88873351</v>
      </c>
      <c r="F88" s="12" t="str">
        <f t="shared" si="5"/>
        <v>Retenção Completa</v>
      </c>
      <c r="G88" s="38"/>
      <c r="H88"/>
    </row>
    <row r="89" spans="2:8" x14ac:dyDescent="0.3">
      <c r="B89" s="12">
        <v>44645</v>
      </c>
      <c r="C89" s="5">
        <f>+SUMIF('Direitos Creditórios'!B:B,Resumo!B89,'Direitos Creditórios'!A:A)</f>
        <v>668648.85891530383</v>
      </c>
      <c r="D89" s="6">
        <f t="shared" si="4"/>
        <v>84</v>
      </c>
      <c r="E89" s="9">
        <f>IF(B89&lt;'Pagamento Estimado'!$C$7-30,0,+IF((SUMIFS('Direitos Creditórios'!A:A,'Direitos Creditórios'!B:B,"&gt;="&amp;Resumo!B89,'Direitos Creditórios'!B:B,"&lt;="&amp;(WORKDAY('Pagamento Estimado'!$C$7,-30,Feriados!$A:$A))))&gt;'Pagamento Estimado'!$C$15,"Não Reter",('Pagamento Estimado'!$C$15-(SUMIFS('Direitos Creditórios'!A:A,'Direitos Creditórios'!B:B,"&lt;="&amp;Resumo!B89,'Direitos Creditórios'!B:B,"&gt;="&amp;(WORKDAY('Pagamento Estimado'!$C$7,-30,Feriados!$A:$A)))))))</f>
        <v>-317058597.74764884</v>
      </c>
      <c r="F89" s="12" t="str">
        <f t="shared" si="5"/>
        <v>Retenção Completa</v>
      </c>
      <c r="G89" s="38"/>
      <c r="H89"/>
    </row>
    <row r="90" spans="2:8" x14ac:dyDescent="0.3">
      <c r="B90" s="12">
        <v>44648</v>
      </c>
      <c r="C90" s="5">
        <f>+SUMIF('Direitos Creditórios'!B:B,Resumo!B90,'Direitos Creditórios'!A:A)</f>
        <v>4312090.0425201003</v>
      </c>
      <c r="D90" s="6">
        <f t="shared" si="4"/>
        <v>87</v>
      </c>
      <c r="E90" s="9">
        <f>IF(B90&lt;'Pagamento Estimado'!$C$7-30,0,+IF((SUMIFS('Direitos Creditórios'!A:A,'Direitos Creditórios'!B:B,"&gt;="&amp;Resumo!B90,'Direitos Creditórios'!B:B,"&lt;="&amp;(WORKDAY('Pagamento Estimado'!$C$7,-30,Feriados!$A:$A))))&gt;'Pagamento Estimado'!$C$15,"Não Reter",('Pagamento Estimado'!$C$15-(SUMIFS('Direitos Creditórios'!A:A,'Direitos Creditórios'!B:B,"&lt;="&amp;Resumo!B90,'Direitos Creditórios'!B:B,"&gt;="&amp;(WORKDAY('Pagamento Estimado'!$C$7,-30,Feriados!$A:$A)))))))</f>
        <v>-321370687.79016888</v>
      </c>
      <c r="F90" s="12" t="str">
        <f t="shared" si="5"/>
        <v>Retenção Completa</v>
      </c>
      <c r="G90" s="38"/>
      <c r="H90"/>
    </row>
    <row r="91" spans="2:8" x14ac:dyDescent="0.3">
      <c r="B91" s="12">
        <v>44649</v>
      </c>
      <c r="C91" s="5">
        <f>+SUMIF('Direitos Creditórios'!B:B,Resumo!B91,'Direitos Creditórios'!A:A)</f>
        <v>177858.79369258208</v>
      </c>
      <c r="D91" s="6">
        <f t="shared" si="4"/>
        <v>88</v>
      </c>
      <c r="E91" s="9">
        <f>IF(B91&lt;'Pagamento Estimado'!$C$7-30,0,+IF((SUMIFS('Direitos Creditórios'!A:A,'Direitos Creditórios'!B:B,"&gt;="&amp;Resumo!B91,'Direitos Creditórios'!B:B,"&lt;="&amp;(WORKDAY('Pagamento Estimado'!$C$7,-30,Feriados!$A:$A))))&gt;'Pagamento Estimado'!$C$15,"Não Reter",('Pagamento Estimado'!$C$15-(SUMIFS('Direitos Creditórios'!A:A,'Direitos Creditórios'!B:B,"&lt;="&amp;Resumo!B91,'Direitos Creditórios'!B:B,"&gt;="&amp;(WORKDAY('Pagamento Estimado'!$C$7,-30,Feriados!$A:$A)))))))</f>
        <v>-321548546.58386147</v>
      </c>
      <c r="F91" s="12" t="str">
        <f t="shared" si="5"/>
        <v>Retenção Completa</v>
      </c>
      <c r="G91" s="38"/>
      <c r="H91"/>
    </row>
    <row r="92" spans="2:8" x14ac:dyDescent="0.3">
      <c r="B92" s="12">
        <v>44650</v>
      </c>
      <c r="C92" s="5">
        <f>+SUMIF('Direitos Creditórios'!B:B,Resumo!B92,'Direitos Creditórios'!A:A)</f>
        <v>5256782.0808108719</v>
      </c>
      <c r="D92" s="6">
        <f t="shared" si="4"/>
        <v>89</v>
      </c>
      <c r="E92" s="9">
        <f>IF(B92&lt;'Pagamento Estimado'!$C$7-30,0,+IF((SUMIFS('Direitos Creditórios'!A:A,'Direitos Creditórios'!B:B,"&gt;="&amp;Resumo!B92,'Direitos Creditórios'!B:B,"&lt;="&amp;(WORKDAY('Pagamento Estimado'!$C$7,-30,Feriados!$A:$A))))&gt;'Pagamento Estimado'!$C$15,"Não Reter",('Pagamento Estimado'!$C$15-(SUMIFS('Direitos Creditórios'!A:A,'Direitos Creditórios'!B:B,"&lt;="&amp;Resumo!B92,'Direitos Creditórios'!B:B,"&gt;="&amp;(WORKDAY('Pagamento Estimado'!$C$7,-30,Feriados!$A:$A)))))))</f>
        <v>-326805328.66467237</v>
      </c>
      <c r="F92" s="12" t="str">
        <f t="shared" ref="F92:F106" si="6">+IF(E92&lt;0,"Retenção Completa"," ")</f>
        <v>Retenção Completa</v>
      </c>
    </row>
    <row r="93" spans="2:8" x14ac:dyDescent="0.3">
      <c r="B93" s="12">
        <v>44651</v>
      </c>
      <c r="C93" s="5">
        <f>+SUMIF('Direitos Creditórios'!B:B,Resumo!B93,'Direitos Creditórios'!A:A)</f>
        <v>3685452.2989638159</v>
      </c>
      <c r="D93" s="6">
        <f t="shared" si="4"/>
        <v>90</v>
      </c>
      <c r="E93" s="9">
        <f>IF(B93&lt;'Pagamento Estimado'!$C$7-30,0,+IF((SUMIFS('Direitos Creditórios'!A:A,'Direitos Creditórios'!B:B,"&gt;="&amp;Resumo!B93,'Direitos Creditórios'!B:B,"&lt;="&amp;(WORKDAY('Pagamento Estimado'!$C$7,-30,Feriados!$A:$A))))&gt;'Pagamento Estimado'!$C$15,"Não Reter",('Pagamento Estimado'!$C$15-(SUMIFS('Direitos Creditórios'!A:A,'Direitos Creditórios'!B:B,"&lt;="&amp;Resumo!B93,'Direitos Creditórios'!B:B,"&gt;="&amp;(WORKDAY('Pagamento Estimado'!$C$7,-30,Feriados!$A:$A)))))))</f>
        <v>-330490780.96363628</v>
      </c>
      <c r="F93" s="12" t="str">
        <f t="shared" si="6"/>
        <v>Retenção Completa</v>
      </c>
    </row>
    <row r="94" spans="2:8" x14ac:dyDescent="0.3">
      <c r="B94" s="12">
        <v>44652</v>
      </c>
      <c r="C94" s="5">
        <f>+SUMIF('Direitos Creditórios'!B:B,Resumo!B94,'Direitos Creditórios'!A:A)</f>
        <v>2127647.6261499291</v>
      </c>
      <c r="D94" s="6">
        <f t="shared" si="4"/>
        <v>91</v>
      </c>
      <c r="E94" s="9">
        <f>IF(B94&lt;'Pagamento Estimado'!$C$7-30,0,+IF((SUMIFS('Direitos Creditórios'!A:A,'Direitos Creditórios'!B:B,"&gt;="&amp;Resumo!B94,'Direitos Creditórios'!B:B,"&lt;="&amp;(WORKDAY('Pagamento Estimado'!$C$7,-30,Feriados!$A:$A))))&gt;'Pagamento Estimado'!$C$15,"Não Reter",('Pagamento Estimado'!$C$15-(SUMIFS('Direitos Creditórios'!A:A,'Direitos Creditórios'!B:B,"&lt;="&amp;Resumo!B94,'Direitos Creditórios'!B:B,"&gt;="&amp;(WORKDAY('Pagamento Estimado'!$C$7,-30,Feriados!$A:$A)))))))</f>
        <v>-332618428.58978629</v>
      </c>
      <c r="F94" s="12" t="str">
        <f t="shared" si="6"/>
        <v>Retenção Completa</v>
      </c>
    </row>
    <row r="95" spans="2:8" hidden="1" x14ac:dyDescent="0.3">
      <c r="B95" s="12">
        <v>44653</v>
      </c>
      <c r="C95" s="5">
        <f>+SUMIF('Direitos Creditórios'!B:B,Resumo!B95,'Direitos Creditórios'!A:A)</f>
        <v>0</v>
      </c>
      <c r="D95" s="6">
        <f t="shared" si="4"/>
        <v>92</v>
      </c>
      <c r="E95" s="9">
        <f>IF(B95&lt;'Pagamento Estimado'!$C$7-30,0,+IF((SUMIFS('Direitos Creditórios'!A:A,'Direitos Creditórios'!B:B,"&gt;="&amp;Resumo!B95,'Direitos Creditórios'!B:B,"&lt;="&amp;(WORKDAY('Pagamento Estimado'!$C$7,-30,Feriados!$A:$A))))&gt;'Pagamento Estimado'!$C$15,"Não Reter",('Pagamento Estimado'!$C$15-(SUMIFS('Direitos Creditórios'!A:A,'Direitos Creditórios'!B:B,"&lt;="&amp;Resumo!B95,'Direitos Creditórios'!B:B,"&gt;="&amp;(WORKDAY('Pagamento Estimado'!$C$7,-30,Feriados!$A:$A)))))))</f>
        <v>-332618428.58978629</v>
      </c>
      <c r="F95" s="12" t="str">
        <f t="shared" si="6"/>
        <v>Retenção Completa</v>
      </c>
    </row>
    <row r="96" spans="2:8" hidden="1" x14ac:dyDescent="0.3">
      <c r="B96" s="12">
        <v>44654</v>
      </c>
      <c r="C96" s="5">
        <f>+SUMIF('Direitos Creditórios'!B:B,Resumo!B96,'Direitos Creditórios'!A:A)</f>
        <v>0</v>
      </c>
      <c r="D96" s="6">
        <f t="shared" si="4"/>
        <v>93</v>
      </c>
      <c r="E96" s="9">
        <f>IF(B96&lt;'Pagamento Estimado'!$C$7-30,0,+IF((SUMIFS('Direitos Creditórios'!A:A,'Direitos Creditórios'!B:B,"&gt;="&amp;Resumo!B96,'Direitos Creditórios'!B:B,"&lt;="&amp;(WORKDAY('Pagamento Estimado'!$C$7,-30,Feriados!$A:$A))))&gt;'Pagamento Estimado'!$C$15,"Não Reter",('Pagamento Estimado'!$C$15-(SUMIFS('Direitos Creditórios'!A:A,'Direitos Creditórios'!B:B,"&lt;="&amp;Resumo!B96,'Direitos Creditórios'!B:B,"&gt;="&amp;(WORKDAY('Pagamento Estimado'!$C$7,-30,Feriados!$A:$A)))))))</f>
        <v>-332618428.58978629</v>
      </c>
      <c r="F96" s="12" t="str">
        <f t="shared" si="6"/>
        <v>Retenção Completa</v>
      </c>
    </row>
    <row r="97" spans="2:6" x14ac:dyDescent="0.3">
      <c r="B97" s="12">
        <v>44655</v>
      </c>
      <c r="C97" s="5">
        <f>+SUMIF('Direitos Creditórios'!B:B,Resumo!B97,'Direitos Creditórios'!A:A)</f>
        <v>3082486.4996912945</v>
      </c>
      <c r="D97" s="6">
        <f t="shared" ref="D97:D112" si="7">MAX(B97-$B$28,0)</f>
        <v>94</v>
      </c>
      <c r="E97" s="9">
        <f>IF(B97&lt;'Pagamento Estimado'!$C$7-30,0,+IF((SUMIFS('Direitos Creditórios'!A:A,'Direitos Creditórios'!B:B,"&gt;="&amp;Resumo!B97,'Direitos Creditórios'!B:B,"&lt;="&amp;(WORKDAY('Pagamento Estimado'!$C$7,-30,Feriados!$A:$A))))&gt;'Pagamento Estimado'!$C$15,"Não Reter",('Pagamento Estimado'!$C$15-(SUMIFS('Direitos Creditórios'!A:A,'Direitos Creditórios'!B:B,"&lt;="&amp;Resumo!B97,'Direitos Creditórios'!B:B,"&gt;="&amp;(WORKDAY('Pagamento Estimado'!$C$7,-30,Feriados!$A:$A)))))))</f>
        <v>-335700915.08947754</v>
      </c>
      <c r="F97" s="12" t="str">
        <f t="shared" si="6"/>
        <v>Retenção Completa</v>
      </c>
    </row>
    <row r="98" spans="2:6" x14ac:dyDescent="0.3">
      <c r="B98" s="12">
        <v>44656</v>
      </c>
      <c r="C98" s="5">
        <f>+SUMIF('Direitos Creditórios'!B:B,Resumo!B98,'Direitos Creditórios'!A:A)</f>
        <v>8734226.2500496283</v>
      </c>
      <c r="D98" s="6">
        <f t="shared" si="7"/>
        <v>95</v>
      </c>
      <c r="E98" s="9">
        <f>IF(B98&lt;'Pagamento Estimado'!$C$7-30,0,+IF((SUMIFS('Direitos Creditórios'!A:A,'Direitos Creditórios'!B:B,"&gt;="&amp;Resumo!B98,'Direitos Creditórios'!B:B,"&lt;="&amp;(WORKDAY('Pagamento Estimado'!$C$7,-30,Feriados!$A:$A))))&gt;'Pagamento Estimado'!$C$15,"Não Reter",('Pagamento Estimado'!$C$15-(SUMIFS('Direitos Creditórios'!A:A,'Direitos Creditórios'!B:B,"&lt;="&amp;Resumo!B98,'Direitos Creditórios'!B:B,"&gt;="&amp;(WORKDAY('Pagamento Estimado'!$C$7,-30,Feriados!$A:$A)))))))</f>
        <v>-344435141.33952725</v>
      </c>
      <c r="F98" s="12" t="str">
        <f t="shared" si="6"/>
        <v>Retenção Completa</v>
      </c>
    </row>
    <row r="99" spans="2:6" x14ac:dyDescent="0.3">
      <c r="B99" s="12">
        <v>44657</v>
      </c>
      <c r="C99" s="5">
        <f>+SUMIF('Direitos Creditórios'!B:B,Resumo!B99,'Direitos Creditórios'!A:A)</f>
        <v>8622812.706160903</v>
      </c>
      <c r="D99" s="6">
        <f t="shared" si="7"/>
        <v>96</v>
      </c>
      <c r="E99" s="9">
        <f>IF(B99&lt;'Pagamento Estimado'!$C$7-30,0,+IF((SUMIFS('Direitos Creditórios'!A:A,'Direitos Creditórios'!B:B,"&gt;="&amp;Resumo!B99,'Direitos Creditórios'!B:B,"&lt;="&amp;(WORKDAY('Pagamento Estimado'!$C$7,-30,Feriados!$A:$A))))&gt;'Pagamento Estimado'!$C$15,"Não Reter",('Pagamento Estimado'!$C$15-(SUMIFS('Direitos Creditórios'!A:A,'Direitos Creditórios'!B:B,"&lt;="&amp;Resumo!B99,'Direitos Creditórios'!B:B,"&gt;="&amp;(WORKDAY('Pagamento Estimado'!$C$7,-30,Feriados!$A:$A)))))))</f>
        <v>-353057954.04568815</v>
      </c>
      <c r="F99" s="12" t="str">
        <f t="shared" si="6"/>
        <v>Retenção Completa</v>
      </c>
    </row>
    <row r="100" spans="2:6" x14ac:dyDescent="0.3">
      <c r="B100" s="12">
        <v>44658</v>
      </c>
      <c r="C100" s="5">
        <f>+SUMIF('Direitos Creditórios'!B:B,Resumo!B100,'Direitos Creditórios'!A:A)</f>
        <v>3310964.649811015</v>
      </c>
      <c r="D100" s="6">
        <f t="shared" si="7"/>
        <v>97</v>
      </c>
      <c r="E100" s="9">
        <f>IF(B100&lt;'Pagamento Estimado'!$C$7-30,0,+IF((SUMIFS('Direitos Creditórios'!A:A,'Direitos Creditórios'!B:B,"&gt;="&amp;Resumo!B100,'Direitos Creditórios'!B:B,"&lt;="&amp;(WORKDAY('Pagamento Estimado'!$C$7,-30,Feriados!$A:$A))))&gt;'Pagamento Estimado'!$C$15,"Não Reter",('Pagamento Estimado'!$C$15-(SUMIFS('Direitos Creditórios'!A:A,'Direitos Creditórios'!B:B,"&lt;="&amp;Resumo!B100,'Direitos Creditórios'!B:B,"&gt;="&amp;(WORKDAY('Pagamento Estimado'!$C$7,-30,Feriados!$A:$A)))))))</f>
        <v>-356368918.69549906</v>
      </c>
      <c r="F100" s="12" t="str">
        <f t="shared" si="6"/>
        <v>Retenção Completa</v>
      </c>
    </row>
    <row r="101" spans="2:6" x14ac:dyDescent="0.3">
      <c r="B101" s="12">
        <v>44659</v>
      </c>
      <c r="C101" s="5">
        <f>+SUMIF('Direitos Creditórios'!B:B,Resumo!B101,'Direitos Creditórios'!A:A)</f>
        <v>17201564.452384077</v>
      </c>
      <c r="D101" s="6">
        <f t="shared" si="7"/>
        <v>98</v>
      </c>
      <c r="E101" s="9">
        <f>IF(B101&lt;'Pagamento Estimado'!$C$7-30,0,+IF((SUMIFS('Direitos Creditórios'!A:A,'Direitos Creditórios'!B:B,"&gt;="&amp;Resumo!B101,'Direitos Creditórios'!B:B,"&lt;="&amp;(WORKDAY('Pagamento Estimado'!$C$7,-30,Feriados!$A:$A))))&gt;'Pagamento Estimado'!$C$15,"Não Reter",('Pagamento Estimado'!$C$15-(SUMIFS('Direitos Creditórios'!A:A,'Direitos Creditórios'!B:B,"&lt;="&amp;Resumo!B101,'Direitos Creditórios'!B:B,"&gt;="&amp;(WORKDAY('Pagamento Estimado'!$C$7,-30,Feriados!$A:$A)))))))</f>
        <v>-373570483.14788318</v>
      </c>
      <c r="F101" s="12" t="str">
        <f t="shared" si="6"/>
        <v>Retenção Completa</v>
      </c>
    </row>
    <row r="102" spans="2:6" hidden="1" x14ac:dyDescent="0.3">
      <c r="B102" s="12">
        <v>44660</v>
      </c>
      <c r="C102" s="5">
        <f>+SUMIF('Direitos Creditórios'!B:B,Resumo!B102,'Direitos Creditórios'!A:A)</f>
        <v>0</v>
      </c>
      <c r="D102" s="6">
        <f t="shared" si="7"/>
        <v>99</v>
      </c>
      <c r="E102" s="9">
        <f>IF(B102&lt;'Pagamento Estimado'!$C$7-30,0,+IF((SUMIFS('Direitos Creditórios'!A:A,'Direitos Creditórios'!B:B,"&gt;="&amp;Resumo!B102,'Direitos Creditórios'!B:B,"&lt;="&amp;(WORKDAY('Pagamento Estimado'!$C$7,-30,Feriados!$A:$A))))&gt;'Pagamento Estimado'!$C$15,"Não Reter",('Pagamento Estimado'!$C$15-(SUMIFS('Direitos Creditórios'!A:A,'Direitos Creditórios'!B:B,"&lt;="&amp;Resumo!B102,'Direitos Creditórios'!B:B,"&gt;="&amp;(WORKDAY('Pagamento Estimado'!$C$7,-30,Feriados!$A:$A)))))))</f>
        <v>-373570483.14788318</v>
      </c>
      <c r="F102" s="12" t="str">
        <f t="shared" si="6"/>
        <v>Retenção Completa</v>
      </c>
    </row>
    <row r="103" spans="2:6" hidden="1" x14ac:dyDescent="0.3">
      <c r="B103" s="12">
        <v>44661</v>
      </c>
      <c r="C103" s="5">
        <f>+SUMIF('Direitos Creditórios'!B:B,Resumo!B103,'Direitos Creditórios'!A:A)</f>
        <v>0</v>
      </c>
      <c r="D103" s="6">
        <f t="shared" si="7"/>
        <v>100</v>
      </c>
      <c r="E103" s="9">
        <f>IF(B103&lt;'Pagamento Estimado'!$C$7-30,0,+IF((SUMIFS('Direitos Creditórios'!A:A,'Direitos Creditórios'!B:B,"&gt;="&amp;Resumo!B103,'Direitos Creditórios'!B:B,"&lt;="&amp;(WORKDAY('Pagamento Estimado'!$C$7,-30,Feriados!$A:$A))))&gt;'Pagamento Estimado'!$C$15,"Não Reter",('Pagamento Estimado'!$C$15-(SUMIFS('Direitos Creditórios'!A:A,'Direitos Creditórios'!B:B,"&lt;="&amp;Resumo!B103,'Direitos Creditórios'!B:B,"&gt;="&amp;(WORKDAY('Pagamento Estimado'!$C$7,-30,Feriados!$A:$A)))))))</f>
        <v>-373570483.14788318</v>
      </c>
      <c r="F103" s="12" t="str">
        <f t="shared" si="6"/>
        <v>Retenção Completa</v>
      </c>
    </row>
    <row r="104" spans="2:6" x14ac:dyDescent="0.3">
      <c r="B104" s="12">
        <v>44662</v>
      </c>
      <c r="C104" s="5">
        <f>+SUMIF('Direitos Creditórios'!B:B,Resumo!B104,'Direitos Creditórios'!A:A)</f>
        <v>46627152.572286151</v>
      </c>
      <c r="D104" s="6">
        <f t="shared" si="7"/>
        <v>101</v>
      </c>
      <c r="E104" s="9">
        <f>IF(B104&lt;'Pagamento Estimado'!$C$7-30,0,+IF((SUMIFS('Direitos Creditórios'!A:A,'Direitos Creditórios'!B:B,"&gt;="&amp;Resumo!B104,'Direitos Creditórios'!B:B,"&lt;="&amp;(WORKDAY('Pagamento Estimado'!$C$7,-30,Feriados!$A:$A))))&gt;'Pagamento Estimado'!$C$15,"Não Reter",('Pagamento Estimado'!$C$15-(SUMIFS('Direitos Creditórios'!A:A,'Direitos Creditórios'!B:B,"&lt;="&amp;Resumo!B104,'Direitos Creditórios'!B:B,"&gt;="&amp;(WORKDAY('Pagamento Estimado'!$C$7,-30,Feriados!$A:$A)))))))</f>
        <v>-420197635.72016931</v>
      </c>
      <c r="F104" s="12" t="str">
        <f t="shared" si="6"/>
        <v>Retenção Completa</v>
      </c>
    </row>
    <row r="105" spans="2:6" x14ac:dyDescent="0.3">
      <c r="B105" s="12">
        <v>44663</v>
      </c>
      <c r="C105" s="5">
        <f>+SUMIF('Direitos Creditórios'!B:B,Resumo!B105,'Direitos Creditórios'!A:A)</f>
        <v>12844397.71212884</v>
      </c>
      <c r="D105" s="6">
        <f t="shared" si="7"/>
        <v>102</v>
      </c>
      <c r="E105" s="9">
        <f>IF(B105&lt;'Pagamento Estimado'!$C$7-30,0,+IF((SUMIFS('Direitos Creditórios'!A:A,'Direitos Creditórios'!B:B,"&gt;="&amp;Resumo!B105,'Direitos Creditórios'!B:B,"&lt;="&amp;(WORKDAY('Pagamento Estimado'!$C$7,-30,Feriados!$A:$A))))&gt;'Pagamento Estimado'!$C$15,"Não Reter",('Pagamento Estimado'!$C$15-(SUMIFS('Direitos Creditórios'!A:A,'Direitos Creditórios'!B:B,"&lt;="&amp;Resumo!B105,'Direitos Creditórios'!B:B,"&gt;="&amp;(WORKDAY('Pagamento Estimado'!$C$7,-30,Feriados!$A:$A)))))))</f>
        <v>-433042033.43229818</v>
      </c>
      <c r="F105" s="12" t="str">
        <f t="shared" si="6"/>
        <v>Retenção Completa</v>
      </c>
    </row>
    <row r="106" spans="2:6" x14ac:dyDescent="0.3">
      <c r="B106" s="12">
        <v>44664</v>
      </c>
      <c r="C106" s="5">
        <f>+SUMIF('Direitos Creditórios'!B:B,Resumo!B106,'Direitos Creditórios'!A:A)</f>
        <v>12240583.337512484</v>
      </c>
      <c r="D106" s="6">
        <f t="shared" si="7"/>
        <v>103</v>
      </c>
      <c r="E106" s="9">
        <f>IF(B106&lt;'Pagamento Estimado'!$C$7-30,0,+IF((SUMIFS('Direitos Creditórios'!A:A,'Direitos Creditórios'!B:B,"&gt;="&amp;Resumo!B106,'Direitos Creditórios'!B:B,"&lt;="&amp;(WORKDAY('Pagamento Estimado'!$C$7,-30,Feriados!$A:$A))))&gt;'Pagamento Estimado'!$C$15,"Não Reter",('Pagamento Estimado'!$C$15-(SUMIFS('Direitos Creditórios'!A:A,'Direitos Creditórios'!B:B,"&lt;="&amp;Resumo!B106,'Direitos Creditórios'!B:B,"&gt;="&amp;(WORKDAY('Pagamento Estimado'!$C$7,-30,Feriados!$A:$A)))))))</f>
        <v>-445282616.76981068</v>
      </c>
      <c r="F106" s="12" t="str">
        <f t="shared" si="6"/>
        <v>Retenção Completa</v>
      </c>
    </row>
    <row r="107" spans="2:6" x14ac:dyDescent="0.3">
      <c r="B107" s="12">
        <v>44665</v>
      </c>
      <c r="C107" s="5">
        <f>+SUMIF('Direitos Creditórios'!B:B,Resumo!B107,'Direitos Creditórios'!A:A)</f>
        <v>12007497.409561353</v>
      </c>
      <c r="D107" s="6">
        <f t="shared" si="7"/>
        <v>104</v>
      </c>
      <c r="E107" s="9">
        <f>IF(B107&lt;'Pagamento Estimado'!$C$7-30,0,+IF((SUMIFS('Direitos Creditórios'!A:A,'Direitos Creditórios'!B:B,"&gt;="&amp;Resumo!B107,'Direitos Creditórios'!B:B,"&lt;="&amp;(WORKDAY('Pagamento Estimado'!$C$7,-30,Feriados!$A:$A))))&gt;'Pagamento Estimado'!$C$15,"Não Reter",('Pagamento Estimado'!$C$15-(SUMIFS('Direitos Creditórios'!A:A,'Direitos Creditórios'!B:B,"&lt;="&amp;Resumo!B107,'Direitos Creditórios'!B:B,"&gt;="&amp;(WORKDAY('Pagamento Estimado'!$C$7,-30,Feriados!$A:$A)))))))</f>
        <v>-457290114.17937207</v>
      </c>
      <c r="F107" s="12" t="str">
        <f t="shared" ref="F107:F112" si="8">+IF(E107&lt;0,"Retenção Completa"," ")</f>
        <v>Retenção Completa</v>
      </c>
    </row>
    <row r="108" spans="2:6" hidden="1" x14ac:dyDescent="0.3">
      <c r="B108" s="12">
        <v>44666</v>
      </c>
      <c r="C108" s="5">
        <f>+SUMIF('Direitos Creditórios'!B:B,Resumo!B108,'Direitos Creditórios'!A:A)</f>
        <v>0</v>
      </c>
      <c r="D108" s="6">
        <f t="shared" si="7"/>
        <v>105</v>
      </c>
      <c r="E108" s="9">
        <f>IF(B108&lt;'Pagamento Estimado'!$C$7-30,0,+IF((SUMIFS('Direitos Creditórios'!A:A,'Direitos Creditórios'!B:B,"&gt;="&amp;Resumo!B108,'Direitos Creditórios'!B:B,"&lt;="&amp;(WORKDAY('Pagamento Estimado'!$C$7,-30,Feriados!$A:$A))))&gt;'Pagamento Estimado'!$C$15,"Não Reter",('Pagamento Estimado'!$C$15-(SUMIFS('Direitos Creditórios'!A:A,'Direitos Creditórios'!B:B,"&lt;="&amp;Resumo!B108,'Direitos Creditórios'!B:B,"&gt;="&amp;(WORKDAY('Pagamento Estimado'!$C$7,-30,Feriados!$A:$A)))))))</f>
        <v>-457290114.17937207</v>
      </c>
      <c r="F108" s="12" t="str">
        <f t="shared" si="8"/>
        <v>Retenção Completa</v>
      </c>
    </row>
    <row r="109" spans="2:6" hidden="1" x14ac:dyDescent="0.3">
      <c r="B109" s="12">
        <v>44667</v>
      </c>
      <c r="C109" s="5">
        <f>+SUMIF('Direitos Creditórios'!B:B,Resumo!B109,'Direitos Creditórios'!A:A)</f>
        <v>0</v>
      </c>
      <c r="D109" s="6">
        <f t="shared" si="7"/>
        <v>106</v>
      </c>
      <c r="E109" s="9">
        <f>IF(B109&lt;'Pagamento Estimado'!$C$7-30,0,+IF((SUMIFS('Direitos Creditórios'!A:A,'Direitos Creditórios'!B:B,"&gt;="&amp;Resumo!B109,'Direitos Creditórios'!B:B,"&lt;="&amp;(WORKDAY('Pagamento Estimado'!$C$7,-30,Feriados!$A:$A))))&gt;'Pagamento Estimado'!$C$15,"Não Reter",('Pagamento Estimado'!$C$15-(SUMIFS('Direitos Creditórios'!A:A,'Direitos Creditórios'!B:B,"&lt;="&amp;Resumo!B109,'Direitos Creditórios'!B:B,"&gt;="&amp;(WORKDAY('Pagamento Estimado'!$C$7,-30,Feriados!$A:$A)))))))</f>
        <v>-457290114.17937207</v>
      </c>
      <c r="F109" s="12" t="str">
        <f t="shared" si="8"/>
        <v>Retenção Completa</v>
      </c>
    </row>
    <row r="110" spans="2:6" hidden="1" x14ac:dyDescent="0.3">
      <c r="B110" s="12">
        <v>44668</v>
      </c>
      <c r="C110" s="5">
        <f>+SUMIF('Direitos Creditórios'!B:B,Resumo!B110,'Direitos Creditórios'!A:A)</f>
        <v>0</v>
      </c>
      <c r="D110" s="6">
        <f t="shared" si="7"/>
        <v>107</v>
      </c>
      <c r="E110" s="9">
        <f>IF(B110&lt;'Pagamento Estimado'!$C$7-30,0,+IF((SUMIFS('Direitos Creditórios'!A:A,'Direitos Creditórios'!B:B,"&gt;="&amp;Resumo!B110,'Direitos Creditórios'!B:B,"&lt;="&amp;(WORKDAY('Pagamento Estimado'!$C$7,-30,Feriados!$A:$A))))&gt;'Pagamento Estimado'!$C$15,"Não Reter",('Pagamento Estimado'!$C$15-(SUMIFS('Direitos Creditórios'!A:A,'Direitos Creditórios'!B:B,"&lt;="&amp;Resumo!B110,'Direitos Creditórios'!B:B,"&gt;="&amp;(WORKDAY('Pagamento Estimado'!$C$7,-30,Feriados!$A:$A)))))))</f>
        <v>-457290114.17937207</v>
      </c>
      <c r="F110" s="12" t="str">
        <f t="shared" si="8"/>
        <v>Retenção Completa</v>
      </c>
    </row>
    <row r="111" spans="2:6" x14ac:dyDescent="0.3">
      <c r="B111" s="12">
        <v>44669</v>
      </c>
      <c r="C111" s="5">
        <f>+SUMIF('Direitos Creditórios'!B:B,Resumo!B111,'Direitos Creditórios'!A:A)</f>
        <v>17334686.059742589</v>
      </c>
      <c r="D111" s="6">
        <f t="shared" si="7"/>
        <v>108</v>
      </c>
      <c r="E111" s="9">
        <f>IF(B111&lt;'Pagamento Estimado'!$C$7-30,0,+IF((SUMIFS('Direitos Creditórios'!A:A,'Direitos Creditórios'!B:B,"&gt;="&amp;Resumo!B111,'Direitos Creditórios'!B:B,"&lt;="&amp;(WORKDAY('Pagamento Estimado'!$C$7,-30,Feriados!$A:$A))))&gt;'Pagamento Estimado'!$C$15,"Não Reter",('Pagamento Estimado'!$C$15-(SUMIFS('Direitos Creditórios'!A:A,'Direitos Creditórios'!B:B,"&lt;="&amp;Resumo!B111,'Direitos Creditórios'!B:B,"&gt;="&amp;(WORKDAY('Pagamento Estimado'!$C$7,-30,Feriados!$A:$A)))))))</f>
        <v>-474624800.23911464</v>
      </c>
      <c r="F111" s="12" t="str">
        <f t="shared" si="8"/>
        <v>Retenção Completa</v>
      </c>
    </row>
    <row r="112" spans="2:6" x14ac:dyDescent="0.3">
      <c r="B112" s="12">
        <v>44670</v>
      </c>
      <c r="C112" s="5">
        <f>+SUMIF('Direitos Creditórios'!B:B,Resumo!B112,'Direitos Creditórios'!A:A)</f>
        <v>876661.51420037576</v>
      </c>
      <c r="D112" s="6">
        <f t="shared" si="7"/>
        <v>109</v>
      </c>
      <c r="E112" s="9">
        <f>IF(B112&lt;'Pagamento Estimado'!$C$7-30,0,+IF((SUMIFS('Direitos Creditórios'!A:A,'Direitos Creditórios'!B:B,"&gt;="&amp;Resumo!B112,'Direitos Creditórios'!B:B,"&lt;="&amp;(WORKDAY('Pagamento Estimado'!$C$7,-30,Feriados!$A:$A))))&gt;'Pagamento Estimado'!$C$15,"Não Reter",('Pagamento Estimado'!$C$15-(SUMIFS('Direitos Creditórios'!A:A,'Direitos Creditórios'!B:B,"&lt;="&amp;Resumo!B112,'Direitos Creditórios'!B:B,"&gt;="&amp;(WORKDAY('Pagamento Estimado'!$C$7,-30,Feriados!$A:$A)))))))</f>
        <v>-475501461.75331497</v>
      </c>
      <c r="F112" s="12" t="str">
        <f t="shared" si="8"/>
        <v>Retenção Completa</v>
      </c>
    </row>
    <row r="113" spans="2:6" hidden="1" x14ac:dyDescent="0.3">
      <c r="B113" s="12">
        <v>44671</v>
      </c>
      <c r="C113" s="5">
        <f>+SUMIF('Direitos Creditórios'!B:B,Resumo!B113,'Direitos Creditórios'!A:A)</f>
        <v>0</v>
      </c>
      <c r="D113" s="6"/>
      <c r="E113" s="9">
        <f>IF(B113&lt;'Pagamento Estimado'!$C$7-30,0,+IF((SUMIFS('Direitos Creditórios'!A:A,'Direitos Creditórios'!B:B,"&gt;="&amp;Resumo!B113,'Direitos Creditórios'!B:B,"&lt;="&amp;(WORKDAY('Pagamento Estimado'!$C$7,-30,Feriados!$A:$A))))&gt;'Pagamento Estimado'!$C$15,"Não Reter",('Pagamento Estimado'!$C$15-(SUMIFS('Direitos Creditórios'!A:A,'Direitos Creditórios'!B:B,"&lt;="&amp;Resumo!B113,'Direitos Creditórios'!B:B,"&gt;="&amp;(WORKDAY('Pagamento Estimado'!$C$7,-30,Feriados!$A:$A)))))))</f>
        <v>-475501461.75331497</v>
      </c>
      <c r="F113" s="12" t="str">
        <f t="shared" ref="F113:F124" si="9">+IF(E113&lt;0,"Retenção Completa"," ")</f>
        <v>Retenção Completa</v>
      </c>
    </row>
    <row r="114" spans="2:6" hidden="1" x14ac:dyDescent="0.3">
      <c r="B114" s="12">
        <v>44672</v>
      </c>
      <c r="C114" s="5">
        <f>+SUMIF('Direitos Creditórios'!B:B,Resumo!B114,'Direitos Creditórios'!A:A)</f>
        <v>0</v>
      </c>
      <c r="D114" s="6"/>
      <c r="E114" s="9">
        <f>IF(B114&lt;'Pagamento Estimado'!$C$7-30,0,+IF((SUMIFS('Direitos Creditórios'!A:A,'Direitos Creditórios'!B:B,"&gt;="&amp;Resumo!B114,'Direitos Creditórios'!B:B,"&lt;="&amp;(WORKDAY('Pagamento Estimado'!$C$7,-30,Feriados!$A:$A))))&gt;'Pagamento Estimado'!$C$15,"Não Reter",('Pagamento Estimado'!$C$15-(SUMIFS('Direitos Creditórios'!A:A,'Direitos Creditórios'!B:B,"&lt;="&amp;Resumo!B114,'Direitos Creditórios'!B:B,"&gt;="&amp;(WORKDAY('Pagamento Estimado'!$C$7,-30,Feriados!$A:$A)))))))</f>
        <v>-475501461.75331497</v>
      </c>
      <c r="F114" s="12" t="str">
        <f t="shared" si="9"/>
        <v>Retenção Completa</v>
      </c>
    </row>
    <row r="115" spans="2:6" hidden="1" x14ac:dyDescent="0.3">
      <c r="B115" s="12">
        <v>44673</v>
      </c>
      <c r="C115" s="5">
        <f>+SUMIF('Direitos Creditórios'!B:B,Resumo!B115,'Direitos Creditórios'!A:A)</f>
        <v>0</v>
      </c>
      <c r="D115" s="6"/>
      <c r="E115" s="9">
        <f>IF(B115&lt;'Pagamento Estimado'!$C$7-30,0,+IF((SUMIFS('Direitos Creditórios'!A:A,'Direitos Creditórios'!B:B,"&gt;="&amp;Resumo!B115,'Direitos Creditórios'!B:B,"&lt;="&amp;(WORKDAY('Pagamento Estimado'!$C$7,-30,Feriados!$A:$A))))&gt;'Pagamento Estimado'!$C$15,"Não Reter",('Pagamento Estimado'!$C$15-(SUMIFS('Direitos Creditórios'!A:A,'Direitos Creditórios'!B:B,"&lt;="&amp;Resumo!B115,'Direitos Creditórios'!B:B,"&gt;="&amp;(WORKDAY('Pagamento Estimado'!$C$7,-30,Feriados!$A:$A)))))))</f>
        <v>-475501461.75331497</v>
      </c>
      <c r="F115" s="12" t="str">
        <f t="shared" si="9"/>
        <v>Retenção Completa</v>
      </c>
    </row>
    <row r="116" spans="2:6" hidden="1" x14ac:dyDescent="0.3">
      <c r="B116" s="12">
        <v>44674</v>
      </c>
      <c r="C116" s="5">
        <f>+SUMIF('Direitos Creditórios'!B:B,Resumo!B116,'Direitos Creditórios'!A:A)</f>
        <v>0</v>
      </c>
      <c r="D116" s="6"/>
      <c r="E116" s="9">
        <f>IF(B116&lt;'Pagamento Estimado'!$C$7-30,0,+IF((SUMIFS('Direitos Creditórios'!A:A,'Direitos Creditórios'!B:B,"&gt;="&amp;Resumo!B116,'Direitos Creditórios'!B:B,"&lt;="&amp;(WORKDAY('Pagamento Estimado'!$C$7,-30,Feriados!$A:$A))))&gt;'Pagamento Estimado'!$C$15,"Não Reter",('Pagamento Estimado'!$C$15-(SUMIFS('Direitos Creditórios'!A:A,'Direitos Creditórios'!B:B,"&lt;="&amp;Resumo!B116,'Direitos Creditórios'!B:B,"&gt;="&amp;(WORKDAY('Pagamento Estimado'!$C$7,-30,Feriados!$A:$A)))))))</f>
        <v>-475501461.75331497</v>
      </c>
      <c r="F116" s="12" t="str">
        <f t="shared" si="9"/>
        <v>Retenção Completa</v>
      </c>
    </row>
    <row r="117" spans="2:6" hidden="1" x14ac:dyDescent="0.3">
      <c r="B117" s="12">
        <v>44675</v>
      </c>
      <c r="C117" s="5">
        <f>+SUMIF('Direitos Creditórios'!B:B,Resumo!B117,'Direitos Creditórios'!A:A)</f>
        <v>0</v>
      </c>
      <c r="D117" s="6"/>
      <c r="E117" s="9">
        <f>IF(B117&lt;'Pagamento Estimado'!$C$7-30,0,+IF((SUMIFS('Direitos Creditórios'!A:A,'Direitos Creditórios'!B:B,"&gt;="&amp;Resumo!B117,'Direitos Creditórios'!B:B,"&lt;="&amp;(WORKDAY('Pagamento Estimado'!$C$7,-30,Feriados!$A:$A))))&gt;'Pagamento Estimado'!$C$15,"Não Reter",('Pagamento Estimado'!$C$15-(SUMIFS('Direitos Creditórios'!A:A,'Direitos Creditórios'!B:B,"&lt;="&amp;Resumo!B117,'Direitos Creditórios'!B:B,"&gt;="&amp;(WORKDAY('Pagamento Estimado'!$C$7,-30,Feriados!$A:$A)))))))</f>
        <v>-475501461.75331497</v>
      </c>
      <c r="F117" s="12" t="str">
        <f t="shared" si="9"/>
        <v>Retenção Completa</v>
      </c>
    </row>
    <row r="118" spans="2:6" hidden="1" x14ac:dyDescent="0.3">
      <c r="B118" s="12">
        <v>44676</v>
      </c>
      <c r="C118" s="5">
        <f>+SUMIF('Direitos Creditórios'!B:B,Resumo!B118,'Direitos Creditórios'!A:A)</f>
        <v>0</v>
      </c>
      <c r="D118" s="6"/>
      <c r="E118" s="9">
        <f>IF(B118&lt;'Pagamento Estimado'!$C$7-30,0,+IF((SUMIFS('Direitos Creditórios'!A:A,'Direitos Creditórios'!B:B,"&gt;="&amp;Resumo!B118,'Direitos Creditórios'!B:B,"&lt;="&amp;(WORKDAY('Pagamento Estimado'!$C$7,-30,Feriados!$A:$A))))&gt;'Pagamento Estimado'!$C$15,"Não Reter",('Pagamento Estimado'!$C$15-(SUMIFS('Direitos Creditórios'!A:A,'Direitos Creditórios'!B:B,"&lt;="&amp;Resumo!B118,'Direitos Creditórios'!B:B,"&gt;="&amp;(WORKDAY('Pagamento Estimado'!$C$7,-30,Feriados!$A:$A)))))))</f>
        <v>-475501461.75331497</v>
      </c>
      <c r="F118" s="12" t="str">
        <f t="shared" si="9"/>
        <v>Retenção Completa</v>
      </c>
    </row>
    <row r="119" spans="2:6" hidden="1" x14ac:dyDescent="0.3">
      <c r="B119" s="12">
        <v>44677</v>
      </c>
      <c r="C119" s="5">
        <f>+SUMIF('Direitos Creditórios'!B:B,Resumo!B119,'Direitos Creditórios'!A:A)</f>
        <v>0</v>
      </c>
      <c r="D119" s="6"/>
      <c r="E119" s="9">
        <f>IF(B119&lt;'Pagamento Estimado'!$C$7-30,0,+IF((SUMIFS('Direitos Creditórios'!A:A,'Direitos Creditórios'!B:B,"&gt;="&amp;Resumo!B119,'Direitos Creditórios'!B:B,"&lt;="&amp;(WORKDAY('Pagamento Estimado'!$C$7,-30,Feriados!$A:$A))))&gt;'Pagamento Estimado'!$C$15,"Não Reter",('Pagamento Estimado'!$C$15-(SUMIFS('Direitos Creditórios'!A:A,'Direitos Creditórios'!B:B,"&lt;="&amp;Resumo!B119,'Direitos Creditórios'!B:B,"&gt;="&amp;(WORKDAY('Pagamento Estimado'!$C$7,-30,Feriados!$A:$A)))))))</f>
        <v>-475501461.75331497</v>
      </c>
      <c r="F119" s="12" t="str">
        <f t="shared" si="9"/>
        <v>Retenção Completa</v>
      </c>
    </row>
    <row r="120" spans="2:6" hidden="1" x14ac:dyDescent="0.3">
      <c r="B120" s="12">
        <v>44678</v>
      </c>
      <c r="C120" s="5">
        <f>+SUMIF('Direitos Creditórios'!B:B,Resumo!B120,'Direitos Creditórios'!A:A)</f>
        <v>0</v>
      </c>
      <c r="D120" s="6"/>
      <c r="E120" s="9">
        <f>IF(B120&lt;'Pagamento Estimado'!$C$7-30,0,+IF((SUMIFS('Direitos Creditórios'!A:A,'Direitos Creditórios'!B:B,"&gt;="&amp;Resumo!B120,'Direitos Creditórios'!B:B,"&lt;="&amp;(WORKDAY('Pagamento Estimado'!$C$7,-30,Feriados!$A:$A))))&gt;'Pagamento Estimado'!$C$15,"Não Reter",('Pagamento Estimado'!$C$15-(SUMIFS('Direitos Creditórios'!A:A,'Direitos Creditórios'!B:B,"&lt;="&amp;Resumo!B120,'Direitos Creditórios'!B:B,"&gt;="&amp;(WORKDAY('Pagamento Estimado'!$C$7,-30,Feriados!$A:$A)))))))</f>
        <v>-475501461.75331497</v>
      </c>
      <c r="F120" s="12" t="str">
        <f t="shared" si="9"/>
        <v>Retenção Completa</v>
      </c>
    </row>
    <row r="121" spans="2:6" hidden="1" x14ac:dyDescent="0.3">
      <c r="B121" s="12">
        <v>44679</v>
      </c>
      <c r="C121" s="5">
        <f>+SUMIF('Direitos Creditórios'!B:B,Resumo!B121,'Direitos Creditórios'!A:A)</f>
        <v>0</v>
      </c>
      <c r="D121" s="6"/>
      <c r="E121" s="9">
        <f>IF(B121&lt;'Pagamento Estimado'!$C$7-30,0,+IF((SUMIFS('Direitos Creditórios'!A:A,'Direitos Creditórios'!B:B,"&gt;="&amp;Resumo!B121,'Direitos Creditórios'!B:B,"&lt;="&amp;(WORKDAY('Pagamento Estimado'!$C$7,-30,Feriados!$A:$A))))&gt;'Pagamento Estimado'!$C$15,"Não Reter",('Pagamento Estimado'!$C$15-(SUMIFS('Direitos Creditórios'!A:A,'Direitos Creditórios'!B:B,"&lt;="&amp;Resumo!B121,'Direitos Creditórios'!B:B,"&gt;="&amp;(WORKDAY('Pagamento Estimado'!$C$7,-30,Feriados!$A:$A)))))))</f>
        <v>-475501461.75331497</v>
      </c>
      <c r="F121" s="12" t="str">
        <f t="shared" si="9"/>
        <v>Retenção Completa</v>
      </c>
    </row>
    <row r="122" spans="2:6" hidden="1" x14ac:dyDescent="0.3">
      <c r="B122" s="12">
        <v>44680</v>
      </c>
      <c r="C122" s="5">
        <f>+SUMIF('Direitos Creditórios'!B:B,Resumo!B122,'Direitos Creditórios'!A:A)</f>
        <v>0</v>
      </c>
      <c r="D122" s="6"/>
      <c r="E122" s="9">
        <f>IF(B122&lt;'Pagamento Estimado'!$C$7-30,0,+IF((SUMIFS('Direitos Creditórios'!A:A,'Direitos Creditórios'!B:B,"&gt;="&amp;Resumo!B122,'Direitos Creditórios'!B:B,"&lt;="&amp;(WORKDAY('Pagamento Estimado'!$C$7,-30,Feriados!$A:$A))))&gt;'Pagamento Estimado'!$C$15,"Não Reter",('Pagamento Estimado'!$C$15-(SUMIFS('Direitos Creditórios'!A:A,'Direitos Creditórios'!B:B,"&lt;="&amp;Resumo!B122,'Direitos Creditórios'!B:B,"&gt;="&amp;(WORKDAY('Pagamento Estimado'!$C$7,-30,Feriados!$A:$A)))))))</f>
        <v>-475501461.75331497</v>
      </c>
      <c r="F122" s="12" t="str">
        <f t="shared" si="9"/>
        <v>Retenção Completa</v>
      </c>
    </row>
    <row r="123" spans="2:6" hidden="1" x14ac:dyDescent="0.3">
      <c r="B123" s="12">
        <v>44681</v>
      </c>
      <c r="C123" s="5">
        <f>+SUMIF('Direitos Creditórios'!B:B,Resumo!B123,'Direitos Creditórios'!A:A)</f>
        <v>0</v>
      </c>
      <c r="D123" s="6"/>
      <c r="E123" s="9">
        <f>IF(B123&lt;'Pagamento Estimado'!$C$7-30,0,+IF((SUMIFS('Direitos Creditórios'!A:A,'Direitos Creditórios'!B:B,"&gt;="&amp;Resumo!B123,'Direitos Creditórios'!B:B,"&lt;="&amp;(WORKDAY('Pagamento Estimado'!$C$7,-30,Feriados!$A:$A))))&gt;'Pagamento Estimado'!$C$15,"Não Reter",('Pagamento Estimado'!$C$15-(SUMIFS('Direitos Creditórios'!A:A,'Direitos Creditórios'!B:B,"&lt;="&amp;Resumo!B123,'Direitos Creditórios'!B:B,"&gt;="&amp;(WORKDAY('Pagamento Estimado'!$C$7,-30,Feriados!$A:$A)))))))</f>
        <v>-475501461.75331497</v>
      </c>
      <c r="F123" s="12" t="str">
        <f t="shared" si="9"/>
        <v>Retenção Completa</v>
      </c>
    </row>
    <row r="124" spans="2:6" hidden="1" x14ac:dyDescent="0.3">
      <c r="B124" s="12">
        <v>44682</v>
      </c>
      <c r="C124" s="5">
        <f>+SUMIF('Direitos Creditórios'!B:B,Resumo!B124,'Direitos Creditórios'!A:A)</f>
        <v>0</v>
      </c>
      <c r="D124" s="6"/>
      <c r="E124" s="9">
        <f>IF(B124&lt;'Pagamento Estimado'!$C$7-30,0,+IF((SUMIFS('Direitos Creditórios'!A:A,'Direitos Creditórios'!B:B,"&gt;="&amp;Resumo!B124,'Direitos Creditórios'!B:B,"&lt;="&amp;(WORKDAY('Pagamento Estimado'!$C$7,-30,Feriados!$A:$A))))&gt;'Pagamento Estimado'!$C$15,"Não Reter",('Pagamento Estimado'!$C$15-(SUMIFS('Direitos Creditórios'!A:A,'Direitos Creditórios'!B:B,"&lt;="&amp;Resumo!B124,'Direitos Creditórios'!B:B,"&gt;="&amp;(WORKDAY('Pagamento Estimado'!$C$7,-30,Feriados!$A:$A)))))))</f>
        <v>-475501461.75331497</v>
      </c>
      <c r="F124" s="12" t="str">
        <f t="shared" si="9"/>
        <v>Retenção Completa</v>
      </c>
    </row>
    <row r="125" spans="2:6" hidden="1" x14ac:dyDescent="0.3">
      <c r="B125" s="12">
        <v>44683</v>
      </c>
      <c r="C125" s="5">
        <f>+SUMIF('Direitos Creditórios'!B:B,Resumo!B125,'Direitos Creditórios'!A:A)</f>
        <v>0</v>
      </c>
      <c r="D125" s="6"/>
      <c r="E125" s="9">
        <f>IF(B125&lt;'Pagamento Estimado'!$C$7-30,0,+IF((SUMIFS('Direitos Creditórios'!A:A,'Direitos Creditórios'!B:B,"&gt;="&amp;Resumo!B125,'Direitos Creditórios'!B:B,"&lt;="&amp;(WORKDAY('Pagamento Estimado'!$C$7,-30,Feriados!$A:$A))))&gt;'Pagamento Estimado'!$C$15,"Não Reter",('Pagamento Estimado'!$C$15-(SUMIFS('Direitos Creditórios'!A:A,'Direitos Creditórios'!B:B,"&lt;="&amp;Resumo!B125,'Direitos Creditórios'!B:B,"&gt;="&amp;(WORKDAY('Pagamento Estimado'!$C$7,-30,Feriados!$A:$A)))))))</f>
        <v>-475501461.75331497</v>
      </c>
      <c r="F125" s="12" t="str">
        <f t="shared" ref="F125:F151" si="10">+IF(E125&lt;0,"Retenção Completa"," ")</f>
        <v>Retenção Completa</v>
      </c>
    </row>
    <row r="126" spans="2:6" hidden="1" x14ac:dyDescent="0.3">
      <c r="B126" s="12">
        <v>44684</v>
      </c>
      <c r="C126" s="5">
        <f>+SUMIF('Direitos Creditórios'!B:B,Resumo!B126,'Direitos Creditórios'!A:A)</f>
        <v>0</v>
      </c>
      <c r="D126" s="6"/>
      <c r="E126" s="9">
        <f>IF(B126&lt;'Pagamento Estimado'!$C$7-30,0,+IF((SUMIFS('Direitos Creditórios'!A:A,'Direitos Creditórios'!B:B,"&gt;="&amp;Resumo!B126,'Direitos Creditórios'!B:B,"&lt;="&amp;(WORKDAY('Pagamento Estimado'!$C$7,-30,Feriados!$A:$A))))&gt;'Pagamento Estimado'!$C$15,"Não Reter",('Pagamento Estimado'!$C$15-(SUMIFS('Direitos Creditórios'!A:A,'Direitos Creditórios'!B:B,"&lt;="&amp;Resumo!B126,'Direitos Creditórios'!B:B,"&gt;="&amp;(WORKDAY('Pagamento Estimado'!$C$7,-30,Feriados!$A:$A)))))))</f>
        <v>-475501461.75331497</v>
      </c>
      <c r="F126" s="12" t="str">
        <f t="shared" si="10"/>
        <v>Retenção Completa</v>
      </c>
    </row>
    <row r="127" spans="2:6" hidden="1" x14ac:dyDescent="0.3">
      <c r="B127" s="12">
        <v>44685</v>
      </c>
      <c r="C127" s="5">
        <f>+SUMIF('Direitos Creditórios'!B:B,Resumo!B127,'Direitos Creditórios'!A:A)</f>
        <v>0</v>
      </c>
      <c r="D127" s="6"/>
      <c r="E127" s="9">
        <f>IF(B127&lt;'Pagamento Estimado'!$C$7-30,0,+IF((SUMIFS('Direitos Creditórios'!A:A,'Direitos Creditórios'!B:B,"&gt;="&amp;Resumo!B127,'Direitos Creditórios'!B:B,"&lt;="&amp;(WORKDAY('Pagamento Estimado'!$C$7,-30,Feriados!$A:$A))))&gt;'Pagamento Estimado'!$C$15,"Não Reter",('Pagamento Estimado'!$C$15-(SUMIFS('Direitos Creditórios'!A:A,'Direitos Creditórios'!B:B,"&lt;="&amp;Resumo!B127,'Direitos Creditórios'!B:B,"&gt;="&amp;(WORKDAY('Pagamento Estimado'!$C$7,-30,Feriados!$A:$A)))))))</f>
        <v>-475501461.75331497</v>
      </c>
      <c r="F127" s="12" t="str">
        <f t="shared" si="10"/>
        <v>Retenção Completa</v>
      </c>
    </row>
    <row r="128" spans="2:6" hidden="1" x14ac:dyDescent="0.3">
      <c r="B128" s="12">
        <v>44686</v>
      </c>
      <c r="C128" s="5">
        <f>+SUMIF('Direitos Creditórios'!B:B,Resumo!B128,'Direitos Creditórios'!A:A)</f>
        <v>0</v>
      </c>
      <c r="D128" s="6"/>
      <c r="E128" s="9">
        <f>IF(B128&lt;'Pagamento Estimado'!$C$7-30,0,+IF((SUMIFS('Direitos Creditórios'!A:A,'Direitos Creditórios'!B:B,"&gt;="&amp;Resumo!B128,'Direitos Creditórios'!B:B,"&lt;="&amp;(WORKDAY('Pagamento Estimado'!$C$7,-30,Feriados!$A:$A))))&gt;'Pagamento Estimado'!$C$15,"Não Reter",('Pagamento Estimado'!$C$15-(SUMIFS('Direitos Creditórios'!A:A,'Direitos Creditórios'!B:B,"&lt;="&amp;Resumo!B128,'Direitos Creditórios'!B:B,"&gt;="&amp;(WORKDAY('Pagamento Estimado'!$C$7,-30,Feriados!$A:$A)))))))</f>
        <v>-475501461.75331497</v>
      </c>
      <c r="F128" s="12" t="str">
        <f t="shared" si="10"/>
        <v>Retenção Completa</v>
      </c>
    </row>
    <row r="129" spans="2:6" hidden="1" x14ac:dyDescent="0.3">
      <c r="B129" s="12">
        <v>44687</v>
      </c>
      <c r="C129" s="5">
        <f>+SUMIF('Direitos Creditórios'!B:B,Resumo!B129,'Direitos Creditórios'!A:A)</f>
        <v>0</v>
      </c>
      <c r="D129" s="6"/>
      <c r="E129" s="9">
        <f>IF(B129&lt;'Pagamento Estimado'!$C$7-30,0,+IF((SUMIFS('Direitos Creditórios'!A:A,'Direitos Creditórios'!B:B,"&gt;="&amp;Resumo!B129,'Direitos Creditórios'!B:B,"&lt;="&amp;(WORKDAY('Pagamento Estimado'!$C$7,-30,Feriados!$A:$A))))&gt;'Pagamento Estimado'!$C$15,"Não Reter",('Pagamento Estimado'!$C$15-(SUMIFS('Direitos Creditórios'!A:A,'Direitos Creditórios'!B:B,"&lt;="&amp;Resumo!B129,'Direitos Creditórios'!B:B,"&gt;="&amp;(WORKDAY('Pagamento Estimado'!$C$7,-30,Feriados!$A:$A)))))))</f>
        <v>-475501461.75331497</v>
      </c>
      <c r="F129" s="12" t="str">
        <f t="shared" si="10"/>
        <v>Retenção Completa</v>
      </c>
    </row>
    <row r="130" spans="2:6" hidden="1" x14ac:dyDescent="0.3">
      <c r="B130" s="12">
        <v>44688</v>
      </c>
      <c r="C130" s="5">
        <f>+SUMIF('Direitos Creditórios'!B:B,Resumo!B130,'Direitos Creditórios'!A:A)</f>
        <v>0</v>
      </c>
      <c r="D130" s="6"/>
      <c r="E130" s="9">
        <f>IF(B130&lt;'Pagamento Estimado'!$C$7-30,0,+IF((SUMIFS('Direitos Creditórios'!A:A,'Direitos Creditórios'!B:B,"&gt;="&amp;Resumo!B130,'Direitos Creditórios'!B:B,"&lt;="&amp;(WORKDAY('Pagamento Estimado'!$C$7,-30,Feriados!$A:$A))))&gt;'Pagamento Estimado'!$C$15,"Não Reter",('Pagamento Estimado'!$C$15-(SUMIFS('Direitos Creditórios'!A:A,'Direitos Creditórios'!B:B,"&lt;="&amp;Resumo!B130,'Direitos Creditórios'!B:B,"&gt;="&amp;(WORKDAY('Pagamento Estimado'!$C$7,-30,Feriados!$A:$A)))))))</f>
        <v>-475501461.75331497</v>
      </c>
      <c r="F130" s="12" t="str">
        <f t="shared" si="10"/>
        <v>Retenção Completa</v>
      </c>
    </row>
    <row r="131" spans="2:6" hidden="1" x14ac:dyDescent="0.3">
      <c r="B131" s="12">
        <v>44689</v>
      </c>
      <c r="C131" s="5">
        <f>+SUMIF('Direitos Creditórios'!B:B,Resumo!B131,'Direitos Creditórios'!A:A)</f>
        <v>0</v>
      </c>
      <c r="D131" s="6"/>
      <c r="E131" s="9">
        <f>IF(B131&lt;'Pagamento Estimado'!$C$7-30,0,+IF((SUMIFS('Direitos Creditórios'!A:A,'Direitos Creditórios'!B:B,"&gt;="&amp;Resumo!B131,'Direitos Creditórios'!B:B,"&lt;="&amp;(WORKDAY('Pagamento Estimado'!$C$7,-30,Feriados!$A:$A))))&gt;'Pagamento Estimado'!$C$15,"Não Reter",('Pagamento Estimado'!$C$15-(SUMIFS('Direitos Creditórios'!A:A,'Direitos Creditórios'!B:B,"&lt;="&amp;Resumo!B131,'Direitos Creditórios'!B:B,"&gt;="&amp;(WORKDAY('Pagamento Estimado'!$C$7,-30,Feriados!$A:$A)))))))</f>
        <v>-475501461.75331497</v>
      </c>
      <c r="F131" s="12" t="str">
        <f t="shared" si="10"/>
        <v>Retenção Completa</v>
      </c>
    </row>
    <row r="132" spans="2:6" hidden="1" x14ac:dyDescent="0.3">
      <c r="B132" s="12">
        <v>44690</v>
      </c>
      <c r="C132" s="5">
        <f>+SUMIF('Direitos Creditórios'!B:B,Resumo!B132,'Direitos Creditórios'!A:A)</f>
        <v>0</v>
      </c>
      <c r="D132" s="6"/>
      <c r="E132" s="9">
        <f>IF(B132&lt;'Pagamento Estimado'!$C$7-30,0,+IF((SUMIFS('Direitos Creditórios'!A:A,'Direitos Creditórios'!B:B,"&gt;="&amp;Resumo!B132,'Direitos Creditórios'!B:B,"&lt;="&amp;(WORKDAY('Pagamento Estimado'!$C$7,-30,Feriados!$A:$A))))&gt;'Pagamento Estimado'!$C$15,"Não Reter",('Pagamento Estimado'!$C$15-(SUMIFS('Direitos Creditórios'!A:A,'Direitos Creditórios'!B:B,"&lt;="&amp;Resumo!B132,'Direitos Creditórios'!B:B,"&gt;="&amp;(WORKDAY('Pagamento Estimado'!$C$7,-30,Feriados!$A:$A)))))))</f>
        <v>-475501461.75331497</v>
      </c>
      <c r="F132" s="12" t="str">
        <f t="shared" si="10"/>
        <v>Retenção Completa</v>
      </c>
    </row>
    <row r="133" spans="2:6" hidden="1" x14ac:dyDescent="0.3">
      <c r="B133" s="12">
        <v>44691</v>
      </c>
      <c r="C133" s="5">
        <f>+SUMIF('Direitos Creditórios'!B:B,Resumo!B133,'Direitos Creditórios'!A:A)</f>
        <v>0</v>
      </c>
      <c r="D133" s="6"/>
      <c r="E133" s="9">
        <f>IF(B133&lt;'Pagamento Estimado'!$C$7-30,0,+IF((SUMIFS('Direitos Creditórios'!A:A,'Direitos Creditórios'!B:B,"&gt;="&amp;Resumo!B133,'Direitos Creditórios'!B:B,"&lt;="&amp;(WORKDAY('Pagamento Estimado'!$C$7,-30,Feriados!$A:$A))))&gt;'Pagamento Estimado'!$C$15,"Não Reter",('Pagamento Estimado'!$C$15-(SUMIFS('Direitos Creditórios'!A:A,'Direitos Creditórios'!B:B,"&lt;="&amp;Resumo!B133,'Direitos Creditórios'!B:B,"&gt;="&amp;(WORKDAY('Pagamento Estimado'!$C$7,-30,Feriados!$A:$A)))))))</f>
        <v>-475501461.75331497</v>
      </c>
      <c r="F133" s="12" t="str">
        <f t="shared" si="10"/>
        <v>Retenção Completa</v>
      </c>
    </row>
    <row r="134" spans="2:6" hidden="1" x14ac:dyDescent="0.3">
      <c r="B134" s="12">
        <v>44692</v>
      </c>
      <c r="C134" s="5">
        <f>+SUMIF('Direitos Creditórios'!B:B,Resumo!B134,'Direitos Creditórios'!A:A)</f>
        <v>0</v>
      </c>
      <c r="D134" s="6"/>
      <c r="E134" s="9">
        <f>IF(B134&lt;'Pagamento Estimado'!$C$7-30,0,+IF((SUMIFS('Direitos Creditórios'!A:A,'Direitos Creditórios'!B:B,"&gt;="&amp;Resumo!B134,'Direitos Creditórios'!B:B,"&lt;="&amp;(WORKDAY('Pagamento Estimado'!$C$7,-30,Feriados!$A:$A))))&gt;'Pagamento Estimado'!$C$15,"Não Reter",('Pagamento Estimado'!$C$15-(SUMIFS('Direitos Creditórios'!A:A,'Direitos Creditórios'!B:B,"&lt;="&amp;Resumo!B134,'Direitos Creditórios'!B:B,"&gt;="&amp;(WORKDAY('Pagamento Estimado'!$C$7,-30,Feriados!$A:$A)))))))</f>
        <v>-475501461.75331497</v>
      </c>
      <c r="F134" s="12" t="str">
        <f t="shared" si="10"/>
        <v>Retenção Completa</v>
      </c>
    </row>
    <row r="135" spans="2:6" hidden="1" x14ac:dyDescent="0.3">
      <c r="B135" s="12">
        <v>44693</v>
      </c>
      <c r="C135" s="5">
        <f>+SUMIF('Direitos Creditórios'!B:B,Resumo!B135,'Direitos Creditórios'!A:A)</f>
        <v>0</v>
      </c>
      <c r="D135" s="6"/>
      <c r="E135" s="9">
        <f>IF(B135&lt;'Pagamento Estimado'!$C$7-30,0,+IF((SUMIFS('Direitos Creditórios'!A:A,'Direitos Creditórios'!B:B,"&gt;="&amp;Resumo!B135,'Direitos Creditórios'!B:B,"&lt;="&amp;(WORKDAY('Pagamento Estimado'!$C$7,-30,Feriados!$A:$A))))&gt;'Pagamento Estimado'!$C$15,"Não Reter",('Pagamento Estimado'!$C$15-(SUMIFS('Direitos Creditórios'!A:A,'Direitos Creditórios'!B:B,"&lt;="&amp;Resumo!B135,'Direitos Creditórios'!B:B,"&gt;="&amp;(WORKDAY('Pagamento Estimado'!$C$7,-30,Feriados!$A:$A)))))))</f>
        <v>-475501461.75331497</v>
      </c>
      <c r="F135" s="12" t="str">
        <f t="shared" si="10"/>
        <v>Retenção Completa</v>
      </c>
    </row>
    <row r="136" spans="2:6" hidden="1" x14ac:dyDescent="0.3">
      <c r="B136" s="12">
        <v>44694</v>
      </c>
      <c r="C136" s="5">
        <f>+SUMIF('Direitos Creditórios'!B:B,Resumo!B136,'Direitos Creditórios'!A:A)</f>
        <v>0</v>
      </c>
      <c r="D136" s="6"/>
      <c r="E136" s="9">
        <f>IF(B136&lt;'Pagamento Estimado'!$C$7-30,0,+IF((SUMIFS('Direitos Creditórios'!A:A,'Direitos Creditórios'!B:B,"&gt;="&amp;Resumo!B136,'Direitos Creditórios'!B:B,"&lt;="&amp;(WORKDAY('Pagamento Estimado'!$C$7,-30,Feriados!$A:$A))))&gt;'Pagamento Estimado'!$C$15,"Não Reter",('Pagamento Estimado'!$C$15-(SUMIFS('Direitos Creditórios'!A:A,'Direitos Creditórios'!B:B,"&lt;="&amp;Resumo!B136,'Direitos Creditórios'!B:B,"&gt;="&amp;(WORKDAY('Pagamento Estimado'!$C$7,-30,Feriados!$A:$A)))))))</f>
        <v>-475501461.75331497</v>
      </c>
      <c r="F136" s="12" t="str">
        <f t="shared" si="10"/>
        <v>Retenção Completa</v>
      </c>
    </row>
    <row r="137" spans="2:6" hidden="1" x14ac:dyDescent="0.3">
      <c r="B137" s="12">
        <v>44695</v>
      </c>
      <c r="C137" s="5">
        <f>+SUMIF('Direitos Creditórios'!B:B,Resumo!B137,'Direitos Creditórios'!A:A)</f>
        <v>0</v>
      </c>
      <c r="D137" s="6"/>
      <c r="E137" s="9">
        <f>IF(B137&lt;'Pagamento Estimado'!$C$7-30,0,+IF((SUMIFS('Direitos Creditórios'!A:A,'Direitos Creditórios'!B:B,"&gt;="&amp;Resumo!B137,'Direitos Creditórios'!B:B,"&lt;="&amp;(WORKDAY('Pagamento Estimado'!$C$7,-30,Feriados!$A:$A))))&gt;'Pagamento Estimado'!$C$15,"Não Reter",('Pagamento Estimado'!$C$15-(SUMIFS('Direitos Creditórios'!A:A,'Direitos Creditórios'!B:B,"&lt;="&amp;Resumo!B137,'Direitos Creditórios'!B:B,"&gt;="&amp;(WORKDAY('Pagamento Estimado'!$C$7,-30,Feriados!$A:$A)))))))</f>
        <v>-475501461.75331497</v>
      </c>
      <c r="F137" s="12" t="str">
        <f t="shared" si="10"/>
        <v>Retenção Completa</v>
      </c>
    </row>
    <row r="138" spans="2:6" hidden="1" x14ac:dyDescent="0.3">
      <c r="B138" s="12">
        <v>44696</v>
      </c>
      <c r="C138" s="5">
        <f>+SUMIF('Direitos Creditórios'!B:B,Resumo!B138,'Direitos Creditórios'!A:A)</f>
        <v>0</v>
      </c>
      <c r="D138" s="6"/>
      <c r="E138" s="9">
        <f>IF(B138&lt;'Pagamento Estimado'!$C$7-30,0,+IF((SUMIFS('Direitos Creditórios'!A:A,'Direitos Creditórios'!B:B,"&gt;="&amp;Resumo!B138,'Direitos Creditórios'!B:B,"&lt;="&amp;(WORKDAY('Pagamento Estimado'!$C$7,-30,Feriados!$A:$A))))&gt;'Pagamento Estimado'!$C$15,"Não Reter",('Pagamento Estimado'!$C$15-(SUMIFS('Direitos Creditórios'!A:A,'Direitos Creditórios'!B:B,"&lt;="&amp;Resumo!B138,'Direitos Creditórios'!B:B,"&gt;="&amp;(WORKDAY('Pagamento Estimado'!$C$7,-30,Feriados!$A:$A)))))))</f>
        <v>-475501461.75331497</v>
      </c>
      <c r="F138" s="12" t="str">
        <f t="shared" si="10"/>
        <v>Retenção Completa</v>
      </c>
    </row>
    <row r="139" spans="2:6" hidden="1" x14ac:dyDescent="0.3">
      <c r="B139" s="12">
        <v>44697</v>
      </c>
      <c r="C139" s="5">
        <f>+SUMIF('Direitos Creditórios'!B:B,Resumo!B139,'Direitos Creditórios'!A:A)</f>
        <v>0</v>
      </c>
      <c r="D139" s="6"/>
      <c r="E139" s="9">
        <f>IF(B139&lt;'Pagamento Estimado'!$C$7-30,0,+IF((SUMIFS('Direitos Creditórios'!A:A,'Direitos Creditórios'!B:B,"&gt;="&amp;Resumo!B139,'Direitos Creditórios'!B:B,"&lt;="&amp;(WORKDAY('Pagamento Estimado'!$C$7,-30,Feriados!$A:$A))))&gt;'Pagamento Estimado'!$C$15,"Não Reter",('Pagamento Estimado'!$C$15-(SUMIFS('Direitos Creditórios'!A:A,'Direitos Creditórios'!B:B,"&lt;="&amp;Resumo!B139,'Direitos Creditórios'!B:B,"&gt;="&amp;(WORKDAY('Pagamento Estimado'!$C$7,-30,Feriados!$A:$A)))))))</f>
        <v>-475501461.75331497</v>
      </c>
      <c r="F139" s="12" t="str">
        <f t="shared" si="10"/>
        <v>Retenção Completa</v>
      </c>
    </row>
    <row r="140" spans="2:6" hidden="1" x14ac:dyDescent="0.3">
      <c r="B140" s="12">
        <v>44698</v>
      </c>
      <c r="C140" s="5">
        <f>+SUMIF('Direitos Creditórios'!B:B,Resumo!B140,'Direitos Creditórios'!A:A)</f>
        <v>0</v>
      </c>
      <c r="D140" s="6"/>
      <c r="E140" s="9">
        <f>IF(B140&lt;'Pagamento Estimado'!$C$7-30,0,+IF((SUMIFS('Direitos Creditórios'!A:A,'Direitos Creditórios'!B:B,"&gt;="&amp;Resumo!B140,'Direitos Creditórios'!B:B,"&lt;="&amp;(WORKDAY('Pagamento Estimado'!$C$7,-30,Feriados!$A:$A))))&gt;'Pagamento Estimado'!$C$15,"Não Reter",('Pagamento Estimado'!$C$15-(SUMIFS('Direitos Creditórios'!A:A,'Direitos Creditórios'!B:B,"&lt;="&amp;Resumo!B140,'Direitos Creditórios'!B:B,"&gt;="&amp;(WORKDAY('Pagamento Estimado'!$C$7,-30,Feriados!$A:$A)))))))</f>
        <v>-475501461.75331497</v>
      </c>
      <c r="F140" s="12" t="str">
        <f t="shared" si="10"/>
        <v>Retenção Completa</v>
      </c>
    </row>
    <row r="141" spans="2:6" hidden="1" x14ac:dyDescent="0.3">
      <c r="B141" s="12">
        <v>44699</v>
      </c>
      <c r="C141" s="5">
        <f>+SUMIF('Direitos Creditórios'!B:B,Resumo!B141,'Direitos Creditórios'!A:A)</f>
        <v>0</v>
      </c>
      <c r="D141" s="6"/>
      <c r="E141" s="9">
        <f>IF(B141&lt;'Pagamento Estimado'!$C$7-30,0,+IF((SUMIFS('Direitos Creditórios'!A:A,'Direitos Creditórios'!B:B,"&gt;="&amp;Resumo!B141,'Direitos Creditórios'!B:B,"&lt;="&amp;(WORKDAY('Pagamento Estimado'!$C$7,-30,Feriados!$A:$A))))&gt;'Pagamento Estimado'!$C$15,"Não Reter",('Pagamento Estimado'!$C$15-(SUMIFS('Direitos Creditórios'!A:A,'Direitos Creditórios'!B:B,"&lt;="&amp;Resumo!B141,'Direitos Creditórios'!B:B,"&gt;="&amp;(WORKDAY('Pagamento Estimado'!$C$7,-30,Feriados!$A:$A)))))))</f>
        <v>-475501461.75331497</v>
      </c>
      <c r="F141" s="12" t="str">
        <f t="shared" si="10"/>
        <v>Retenção Completa</v>
      </c>
    </row>
    <row r="142" spans="2:6" hidden="1" x14ac:dyDescent="0.3">
      <c r="B142" s="12">
        <v>44700</v>
      </c>
      <c r="C142" s="5">
        <f>+SUMIF('Direitos Creditórios'!B:B,Resumo!B142,'Direitos Creditórios'!A:A)</f>
        <v>0</v>
      </c>
      <c r="D142" s="6"/>
      <c r="E142" s="9">
        <f>IF(B142&lt;'Pagamento Estimado'!$C$7-30,0,+IF((SUMIFS('Direitos Creditórios'!A:A,'Direitos Creditórios'!B:B,"&gt;="&amp;Resumo!B142,'Direitos Creditórios'!B:B,"&lt;="&amp;(WORKDAY('Pagamento Estimado'!$C$7,-30,Feriados!$A:$A))))&gt;'Pagamento Estimado'!$C$15,"Não Reter",('Pagamento Estimado'!$C$15-(SUMIFS('Direitos Creditórios'!A:A,'Direitos Creditórios'!B:B,"&lt;="&amp;Resumo!B142,'Direitos Creditórios'!B:B,"&gt;="&amp;(WORKDAY('Pagamento Estimado'!$C$7,-30,Feriados!$A:$A)))))))</f>
        <v>-475501461.75331497</v>
      </c>
      <c r="F142" s="12" t="str">
        <f t="shared" si="10"/>
        <v>Retenção Completa</v>
      </c>
    </row>
    <row r="143" spans="2:6" hidden="1" x14ac:dyDescent="0.3">
      <c r="B143" s="12">
        <v>44701</v>
      </c>
      <c r="C143" s="5">
        <f>+SUMIF('Direitos Creditórios'!B:B,Resumo!B143,'Direitos Creditórios'!A:A)</f>
        <v>0</v>
      </c>
      <c r="D143" s="6"/>
      <c r="E143" s="9">
        <f>IF(B143&lt;'Pagamento Estimado'!$C$7-30,0,+IF((SUMIFS('Direitos Creditórios'!A:A,'Direitos Creditórios'!B:B,"&gt;="&amp;Resumo!B143,'Direitos Creditórios'!B:B,"&lt;="&amp;(WORKDAY('Pagamento Estimado'!$C$7,-30,Feriados!$A:$A))))&gt;'Pagamento Estimado'!$C$15,"Não Reter",('Pagamento Estimado'!$C$15-(SUMIFS('Direitos Creditórios'!A:A,'Direitos Creditórios'!B:B,"&lt;="&amp;Resumo!B143,'Direitos Creditórios'!B:B,"&gt;="&amp;(WORKDAY('Pagamento Estimado'!$C$7,-30,Feriados!$A:$A)))))))</f>
        <v>-475501461.75331497</v>
      </c>
      <c r="F143" s="12" t="str">
        <f t="shared" si="10"/>
        <v>Retenção Completa</v>
      </c>
    </row>
    <row r="144" spans="2:6" hidden="1" x14ac:dyDescent="0.3">
      <c r="B144" s="12">
        <v>44702</v>
      </c>
      <c r="C144" s="5">
        <f>+SUMIF('Direitos Creditórios'!B:B,Resumo!B144,'Direitos Creditórios'!A:A)</f>
        <v>0</v>
      </c>
      <c r="D144" s="6"/>
      <c r="E144" s="9">
        <f>IF(B144&lt;'Pagamento Estimado'!$C$7-30,0,+IF((SUMIFS('Direitos Creditórios'!A:A,'Direitos Creditórios'!B:B,"&gt;="&amp;Resumo!B144,'Direitos Creditórios'!B:B,"&lt;="&amp;(WORKDAY('Pagamento Estimado'!$C$7,-30,Feriados!$A:$A))))&gt;'Pagamento Estimado'!$C$15,"Não Reter",('Pagamento Estimado'!$C$15-(SUMIFS('Direitos Creditórios'!A:A,'Direitos Creditórios'!B:B,"&lt;="&amp;Resumo!B144,'Direitos Creditórios'!B:B,"&gt;="&amp;(WORKDAY('Pagamento Estimado'!$C$7,-30,Feriados!$A:$A)))))))</f>
        <v>-475501461.75331497</v>
      </c>
      <c r="F144" s="12" t="str">
        <f t="shared" si="10"/>
        <v>Retenção Completa</v>
      </c>
    </row>
    <row r="145" spans="2:6" hidden="1" x14ac:dyDescent="0.3">
      <c r="B145" s="12">
        <v>44703</v>
      </c>
      <c r="C145" s="5">
        <f>+SUMIF('Direitos Creditórios'!B:B,Resumo!B145,'Direitos Creditórios'!A:A)</f>
        <v>0</v>
      </c>
      <c r="D145" s="6"/>
      <c r="E145" s="9">
        <f>IF(B145&lt;'Pagamento Estimado'!$C$7-30,0,+IF((SUMIFS('Direitos Creditórios'!A:A,'Direitos Creditórios'!B:B,"&gt;="&amp;Resumo!B145,'Direitos Creditórios'!B:B,"&lt;="&amp;(WORKDAY('Pagamento Estimado'!$C$7,-30,Feriados!$A:$A))))&gt;'Pagamento Estimado'!$C$15,"Não Reter",('Pagamento Estimado'!$C$15-(SUMIFS('Direitos Creditórios'!A:A,'Direitos Creditórios'!B:B,"&lt;="&amp;Resumo!B145,'Direitos Creditórios'!B:B,"&gt;="&amp;(WORKDAY('Pagamento Estimado'!$C$7,-30,Feriados!$A:$A)))))))</f>
        <v>-475501461.75331497</v>
      </c>
      <c r="F145" s="12" t="str">
        <f t="shared" si="10"/>
        <v>Retenção Completa</v>
      </c>
    </row>
    <row r="146" spans="2:6" hidden="1" x14ac:dyDescent="0.3">
      <c r="B146" s="12">
        <v>44704</v>
      </c>
      <c r="C146" s="5">
        <f>+SUMIF('Direitos Creditórios'!B:B,Resumo!B146,'Direitos Creditórios'!A:A)</f>
        <v>0</v>
      </c>
      <c r="D146" s="6"/>
      <c r="E146" s="9">
        <f>IF(B146&lt;'Pagamento Estimado'!$C$7-30,0,+IF((SUMIFS('Direitos Creditórios'!A:A,'Direitos Creditórios'!B:B,"&gt;="&amp;Resumo!B146,'Direitos Creditórios'!B:B,"&lt;="&amp;(WORKDAY('Pagamento Estimado'!$C$7,-30,Feriados!$A:$A))))&gt;'Pagamento Estimado'!$C$15,"Não Reter",('Pagamento Estimado'!$C$15-(SUMIFS('Direitos Creditórios'!A:A,'Direitos Creditórios'!B:B,"&lt;="&amp;Resumo!B146,'Direitos Creditórios'!B:B,"&gt;="&amp;(WORKDAY('Pagamento Estimado'!$C$7,-30,Feriados!$A:$A)))))))</f>
        <v>-475501461.75331497</v>
      </c>
      <c r="F146" s="12" t="str">
        <f t="shared" si="10"/>
        <v>Retenção Completa</v>
      </c>
    </row>
    <row r="147" spans="2:6" hidden="1" x14ac:dyDescent="0.3">
      <c r="B147" s="12">
        <v>44705</v>
      </c>
      <c r="C147" s="5">
        <f>+SUMIF('Direitos Creditórios'!B:B,Resumo!B147,'Direitos Creditórios'!A:A)</f>
        <v>0</v>
      </c>
      <c r="D147" s="6"/>
      <c r="E147" s="9">
        <f>IF(B147&lt;'Pagamento Estimado'!$C$7-30,0,+IF((SUMIFS('Direitos Creditórios'!A:A,'Direitos Creditórios'!B:B,"&gt;="&amp;Resumo!B147,'Direitos Creditórios'!B:B,"&lt;="&amp;(WORKDAY('Pagamento Estimado'!$C$7,-30,Feriados!$A:$A))))&gt;'Pagamento Estimado'!$C$15,"Não Reter",('Pagamento Estimado'!$C$15-(SUMIFS('Direitos Creditórios'!A:A,'Direitos Creditórios'!B:B,"&lt;="&amp;Resumo!B147,'Direitos Creditórios'!B:B,"&gt;="&amp;(WORKDAY('Pagamento Estimado'!$C$7,-30,Feriados!$A:$A)))))))</f>
        <v>-475501461.75331497</v>
      </c>
      <c r="F147" s="12" t="str">
        <f t="shared" si="10"/>
        <v>Retenção Completa</v>
      </c>
    </row>
    <row r="148" spans="2:6" hidden="1" x14ac:dyDescent="0.3">
      <c r="B148" s="12">
        <v>44706</v>
      </c>
      <c r="C148" s="5">
        <f>+SUMIF('Direitos Creditórios'!B:B,Resumo!B148,'Direitos Creditórios'!A:A)</f>
        <v>0</v>
      </c>
      <c r="D148" s="6"/>
      <c r="E148" s="9">
        <f>IF(B148&lt;'Pagamento Estimado'!$C$7-30,0,+IF((SUMIFS('Direitos Creditórios'!A:A,'Direitos Creditórios'!B:B,"&gt;="&amp;Resumo!B148,'Direitos Creditórios'!B:B,"&lt;="&amp;(WORKDAY('Pagamento Estimado'!$C$7,-30,Feriados!$A:$A))))&gt;'Pagamento Estimado'!$C$15,"Não Reter",('Pagamento Estimado'!$C$15-(SUMIFS('Direitos Creditórios'!A:A,'Direitos Creditórios'!B:B,"&lt;="&amp;Resumo!B148,'Direitos Creditórios'!B:B,"&gt;="&amp;(WORKDAY('Pagamento Estimado'!$C$7,-30,Feriados!$A:$A)))))))</f>
        <v>-475501461.75331497</v>
      </c>
      <c r="F148" s="12" t="str">
        <f t="shared" si="10"/>
        <v>Retenção Completa</v>
      </c>
    </row>
    <row r="149" spans="2:6" hidden="1" x14ac:dyDescent="0.3">
      <c r="B149" s="12">
        <v>44707</v>
      </c>
      <c r="C149" s="5">
        <f>+SUMIF('Direitos Creditórios'!B:B,Resumo!B149,'Direitos Creditórios'!A:A)</f>
        <v>0</v>
      </c>
      <c r="D149" s="6"/>
      <c r="E149" s="9">
        <f>IF(B149&lt;'Pagamento Estimado'!$C$7-30,0,+IF((SUMIFS('Direitos Creditórios'!A:A,'Direitos Creditórios'!B:B,"&gt;="&amp;Resumo!B149,'Direitos Creditórios'!B:B,"&lt;="&amp;(WORKDAY('Pagamento Estimado'!$C$7,-30,Feriados!$A:$A))))&gt;'Pagamento Estimado'!$C$15,"Não Reter",('Pagamento Estimado'!$C$15-(SUMIFS('Direitos Creditórios'!A:A,'Direitos Creditórios'!B:B,"&lt;="&amp;Resumo!B149,'Direitos Creditórios'!B:B,"&gt;="&amp;(WORKDAY('Pagamento Estimado'!$C$7,-30,Feriados!$A:$A)))))))</f>
        <v>-475501461.75331497</v>
      </c>
      <c r="F149" s="12" t="str">
        <f t="shared" si="10"/>
        <v>Retenção Completa</v>
      </c>
    </row>
    <row r="150" spans="2:6" hidden="1" x14ac:dyDescent="0.3">
      <c r="B150" s="12">
        <v>44708</v>
      </c>
      <c r="C150" s="5">
        <f>+SUMIF('Direitos Creditórios'!B:B,Resumo!B150,'Direitos Creditórios'!A:A)</f>
        <v>0</v>
      </c>
      <c r="D150" s="6"/>
      <c r="E150" s="9">
        <f>IF(B150&lt;'Pagamento Estimado'!$C$7-30,0,+IF((SUMIFS('Direitos Creditórios'!A:A,'Direitos Creditórios'!B:B,"&gt;="&amp;Resumo!B150,'Direitos Creditórios'!B:B,"&lt;="&amp;(WORKDAY('Pagamento Estimado'!$C$7,-30,Feriados!$A:$A))))&gt;'Pagamento Estimado'!$C$15,"Não Reter",('Pagamento Estimado'!$C$15-(SUMIFS('Direitos Creditórios'!A:A,'Direitos Creditórios'!B:B,"&lt;="&amp;Resumo!B150,'Direitos Creditórios'!B:B,"&gt;="&amp;(WORKDAY('Pagamento Estimado'!$C$7,-30,Feriados!$A:$A)))))))</f>
        <v>-475501461.75331497</v>
      </c>
      <c r="F150" s="12" t="str">
        <f t="shared" si="10"/>
        <v>Retenção Completa</v>
      </c>
    </row>
    <row r="151" spans="2:6" hidden="1" x14ac:dyDescent="0.3">
      <c r="B151" s="12">
        <v>44709</v>
      </c>
      <c r="C151" s="5">
        <f>+SUMIF('Direitos Creditórios'!B:B,Resumo!B151,'Direitos Creditórios'!A:A)</f>
        <v>0</v>
      </c>
      <c r="D151" s="6"/>
      <c r="E151" s="9">
        <f>IF(B151&lt;'Pagamento Estimado'!$C$7-30,0,+IF((SUMIFS('Direitos Creditórios'!A:A,'Direitos Creditórios'!B:B,"&gt;="&amp;Resumo!B151,'Direitos Creditórios'!B:B,"&lt;="&amp;(WORKDAY('Pagamento Estimado'!$C$7,-30,Feriados!$A:$A))))&gt;'Pagamento Estimado'!$C$15,"Não Reter",('Pagamento Estimado'!$C$15-(SUMIFS('Direitos Creditórios'!A:A,'Direitos Creditórios'!B:B,"&lt;="&amp;Resumo!B151,'Direitos Creditórios'!B:B,"&gt;="&amp;(WORKDAY('Pagamento Estimado'!$C$7,-30,Feriados!$A:$A)))))))</f>
        <v>-475501461.75331497</v>
      </c>
      <c r="F151" s="12" t="str">
        <f t="shared" si="10"/>
        <v>Retenção Completa</v>
      </c>
    </row>
    <row r="152" spans="2:6" hidden="1" x14ac:dyDescent="0.3">
      <c r="B152" s="12">
        <v>44710</v>
      </c>
      <c r="C152" s="5">
        <f>+SUMIF('Direitos Creditórios'!B:B,Resumo!B152,'Direitos Creditórios'!A:A)</f>
        <v>0</v>
      </c>
      <c r="D152" s="6"/>
      <c r="E152" s="9">
        <f>IF(B152&lt;'Pagamento Estimado'!$C$7-30,0,+IF((SUMIFS('Direitos Creditórios'!A:A,'Direitos Creditórios'!B:B,"&gt;="&amp;Resumo!B152,'Direitos Creditórios'!B:B,"&lt;="&amp;(WORKDAY('Pagamento Estimado'!$C$7,-30,Feriados!$A:$A))))&gt;'Pagamento Estimado'!$C$15,"Não Reter",('Pagamento Estimado'!$C$15-(SUMIFS('Direitos Creditórios'!A:A,'Direitos Creditórios'!B:B,"&lt;="&amp;Resumo!B152,'Direitos Creditórios'!B:B,"&gt;="&amp;(WORKDAY('Pagamento Estimado'!$C$7,-30,Feriados!$A:$A)))))))</f>
        <v>-475501461.75331497</v>
      </c>
      <c r="F152" s="12" t="str">
        <f t="shared" ref="F152:F158" si="11">+IF(E152&lt;0,"Retenção Completa"," ")</f>
        <v>Retenção Completa</v>
      </c>
    </row>
    <row r="153" spans="2:6" hidden="1" x14ac:dyDescent="0.3">
      <c r="B153" s="12">
        <v>44711</v>
      </c>
      <c r="C153" s="5">
        <f>+SUMIF('Direitos Creditórios'!B:B,Resumo!B153,'Direitos Creditórios'!A:A)</f>
        <v>0</v>
      </c>
      <c r="D153" s="6"/>
      <c r="E153" s="9">
        <f>IF(B153&lt;'Pagamento Estimado'!$C$7-30,0,+IF((SUMIFS('Direitos Creditórios'!A:A,'Direitos Creditórios'!B:B,"&gt;="&amp;Resumo!B153,'Direitos Creditórios'!B:B,"&lt;="&amp;(WORKDAY('Pagamento Estimado'!$C$7,-30,Feriados!$A:$A))))&gt;'Pagamento Estimado'!$C$15,"Não Reter",('Pagamento Estimado'!$C$15-(SUMIFS('Direitos Creditórios'!A:A,'Direitos Creditórios'!B:B,"&lt;="&amp;Resumo!B153,'Direitos Creditórios'!B:B,"&gt;="&amp;(WORKDAY('Pagamento Estimado'!$C$7,-30,Feriados!$A:$A)))))))</f>
        <v>-475501461.75331497</v>
      </c>
      <c r="F153" s="12" t="str">
        <f t="shared" si="11"/>
        <v>Retenção Completa</v>
      </c>
    </row>
    <row r="154" spans="2:6" hidden="1" x14ac:dyDescent="0.3">
      <c r="B154" s="12">
        <v>44712</v>
      </c>
      <c r="C154" s="5">
        <f>+SUMIF('Direitos Creditórios'!B:B,Resumo!B154,'Direitos Creditórios'!A:A)</f>
        <v>0</v>
      </c>
      <c r="D154" s="6"/>
      <c r="E154" s="9">
        <f>IF(B154&lt;'Pagamento Estimado'!$C$7-30,0,+IF((SUMIFS('Direitos Creditórios'!A:A,'Direitos Creditórios'!B:B,"&gt;="&amp;Resumo!B154,'Direitos Creditórios'!B:B,"&lt;="&amp;(WORKDAY('Pagamento Estimado'!$C$7,-30,Feriados!$A:$A))))&gt;'Pagamento Estimado'!$C$15,"Não Reter",('Pagamento Estimado'!$C$15-(SUMIFS('Direitos Creditórios'!A:A,'Direitos Creditórios'!B:B,"&lt;="&amp;Resumo!B154,'Direitos Creditórios'!B:B,"&gt;="&amp;(WORKDAY('Pagamento Estimado'!$C$7,-30,Feriados!$A:$A)))))))</f>
        <v>-475501461.75331497</v>
      </c>
      <c r="F154" s="12" t="str">
        <f t="shared" si="11"/>
        <v>Retenção Completa</v>
      </c>
    </row>
    <row r="155" spans="2:6" hidden="1" x14ac:dyDescent="0.3">
      <c r="B155" s="12">
        <v>44713</v>
      </c>
      <c r="C155" s="5">
        <f>+SUMIF('Direitos Creditórios'!B:B,Resumo!B155,'Direitos Creditórios'!A:A)</f>
        <v>0</v>
      </c>
      <c r="D155" s="6"/>
      <c r="E155" s="9">
        <f>IF(B155&lt;'Pagamento Estimado'!$C$7-30,0,+IF((SUMIFS('Direitos Creditórios'!A:A,'Direitos Creditórios'!B:B,"&gt;="&amp;Resumo!B155,'Direitos Creditórios'!B:B,"&lt;="&amp;(WORKDAY('Pagamento Estimado'!$C$7,-30,Feriados!$A:$A))))&gt;'Pagamento Estimado'!$C$15,"Não Reter",('Pagamento Estimado'!$C$15-(SUMIFS('Direitos Creditórios'!A:A,'Direitos Creditórios'!B:B,"&lt;="&amp;Resumo!B155,'Direitos Creditórios'!B:B,"&gt;="&amp;(WORKDAY('Pagamento Estimado'!$C$7,-30,Feriados!$A:$A)))))))</f>
        <v>-475501461.75331497</v>
      </c>
      <c r="F155" s="12" t="str">
        <f t="shared" si="11"/>
        <v>Retenção Completa</v>
      </c>
    </row>
    <row r="156" spans="2:6" hidden="1" x14ac:dyDescent="0.3">
      <c r="B156" s="12">
        <v>44714</v>
      </c>
      <c r="C156" s="5">
        <f>+SUMIF('Direitos Creditórios'!B:B,Resumo!B156,'Direitos Creditórios'!A:A)</f>
        <v>0</v>
      </c>
      <c r="D156" s="6"/>
      <c r="E156" s="9">
        <f>IF(B156&lt;'Pagamento Estimado'!$C$7-30,0,+IF((SUMIFS('Direitos Creditórios'!A:A,'Direitos Creditórios'!B:B,"&gt;="&amp;Resumo!B156,'Direitos Creditórios'!B:B,"&lt;="&amp;(WORKDAY('Pagamento Estimado'!$C$7,-30,Feriados!$A:$A))))&gt;'Pagamento Estimado'!$C$15,"Não Reter",('Pagamento Estimado'!$C$15-(SUMIFS('Direitos Creditórios'!A:A,'Direitos Creditórios'!B:B,"&lt;="&amp;Resumo!B156,'Direitos Creditórios'!B:B,"&gt;="&amp;(WORKDAY('Pagamento Estimado'!$C$7,-30,Feriados!$A:$A)))))))</f>
        <v>-475501461.75331497</v>
      </c>
      <c r="F156" s="12" t="str">
        <f t="shared" si="11"/>
        <v>Retenção Completa</v>
      </c>
    </row>
    <row r="157" spans="2:6" hidden="1" x14ac:dyDescent="0.3">
      <c r="B157" s="12">
        <v>44715</v>
      </c>
      <c r="C157" s="5">
        <f>+SUMIF('Direitos Creditórios'!B:B,Resumo!B157,'Direitos Creditórios'!A:A)</f>
        <v>0</v>
      </c>
      <c r="D157" s="6"/>
      <c r="E157" s="9">
        <f>IF(B157&lt;'Pagamento Estimado'!$C$7-30,0,+IF((SUMIFS('Direitos Creditórios'!A:A,'Direitos Creditórios'!B:B,"&gt;="&amp;Resumo!B157,'Direitos Creditórios'!B:B,"&lt;="&amp;(WORKDAY('Pagamento Estimado'!$C$7,-30,Feriados!$A:$A))))&gt;'Pagamento Estimado'!$C$15,"Não Reter",('Pagamento Estimado'!$C$15-(SUMIFS('Direitos Creditórios'!A:A,'Direitos Creditórios'!B:B,"&lt;="&amp;Resumo!B157,'Direitos Creditórios'!B:B,"&gt;="&amp;(WORKDAY('Pagamento Estimado'!$C$7,-30,Feriados!$A:$A)))))))</f>
        <v>-475501461.75331497</v>
      </c>
      <c r="F157" s="12" t="str">
        <f t="shared" si="11"/>
        <v>Retenção Completa</v>
      </c>
    </row>
    <row r="158" spans="2:6" hidden="1" x14ac:dyDescent="0.3">
      <c r="B158" s="12">
        <v>44716</v>
      </c>
      <c r="C158" s="5">
        <f>+SUMIF('Direitos Creditórios'!B:B,Resumo!B158,'Direitos Creditórios'!A:A)</f>
        <v>0</v>
      </c>
      <c r="D158" s="6"/>
      <c r="E158" s="9">
        <f>IF(B158&lt;'Pagamento Estimado'!$C$7-30,0,+IF((SUMIFS('Direitos Creditórios'!A:A,'Direitos Creditórios'!B:B,"&gt;="&amp;Resumo!B158,'Direitos Creditórios'!B:B,"&lt;="&amp;(WORKDAY('Pagamento Estimado'!$C$7,-30,Feriados!$A:$A))))&gt;'Pagamento Estimado'!$C$15,"Não Reter",('Pagamento Estimado'!$C$15-(SUMIFS('Direitos Creditórios'!A:A,'Direitos Creditórios'!B:B,"&lt;="&amp;Resumo!B158,'Direitos Creditórios'!B:B,"&gt;="&amp;(WORKDAY('Pagamento Estimado'!$C$7,-30,Feriados!$A:$A)))))))</f>
        <v>-475501461.75331497</v>
      </c>
      <c r="F158" s="12" t="str">
        <f t="shared" si="11"/>
        <v>Retenção Completa</v>
      </c>
    </row>
    <row r="159" spans="2:6" hidden="1" x14ac:dyDescent="0.3">
      <c r="B159" s="12">
        <v>44717</v>
      </c>
      <c r="C159" s="5">
        <f>+SUMIF('Direitos Creditórios'!B:B,Resumo!B159,'Direitos Creditórios'!A:A)</f>
        <v>0</v>
      </c>
      <c r="D159" s="6"/>
      <c r="E159" s="9">
        <f>IF(B159&lt;'Pagamento Estimado'!$C$7-30,0,+IF((SUMIFS('Direitos Creditórios'!A:A,'Direitos Creditórios'!B:B,"&gt;="&amp;Resumo!B159,'Direitos Creditórios'!B:B,"&lt;="&amp;(WORKDAY('Pagamento Estimado'!$C$7,-30,Feriados!$A:$A))))&gt;'Pagamento Estimado'!$C$15,"Não Reter",('Pagamento Estimado'!$C$15-(SUMIFS('Direitos Creditórios'!A:A,'Direitos Creditórios'!B:B,"&lt;="&amp;Resumo!B159,'Direitos Creditórios'!B:B,"&gt;="&amp;(WORKDAY('Pagamento Estimado'!$C$7,-30,Feriados!$A:$A)))))))</f>
        <v>-475501461.75331497</v>
      </c>
      <c r="F159" s="12" t="str">
        <f t="shared" ref="F159:F171" si="12">+IF(E159&lt;0,"Retenção Completa"," ")</f>
        <v>Retenção Completa</v>
      </c>
    </row>
    <row r="160" spans="2:6" hidden="1" x14ac:dyDescent="0.3">
      <c r="B160" s="12">
        <v>44718</v>
      </c>
      <c r="C160" s="5">
        <f>+SUMIF('Direitos Creditórios'!B:B,Resumo!B160,'Direitos Creditórios'!A:A)</f>
        <v>0</v>
      </c>
      <c r="D160" s="6"/>
      <c r="E160" s="9">
        <f>IF(B160&lt;'Pagamento Estimado'!$C$7-30,0,+IF((SUMIFS('Direitos Creditórios'!A:A,'Direitos Creditórios'!B:B,"&gt;="&amp;Resumo!B160,'Direitos Creditórios'!B:B,"&lt;="&amp;(WORKDAY('Pagamento Estimado'!$C$7,-30,Feriados!$A:$A))))&gt;'Pagamento Estimado'!$C$15,"Não Reter",('Pagamento Estimado'!$C$15-(SUMIFS('Direitos Creditórios'!A:A,'Direitos Creditórios'!B:B,"&lt;="&amp;Resumo!B160,'Direitos Creditórios'!B:B,"&gt;="&amp;(WORKDAY('Pagamento Estimado'!$C$7,-30,Feriados!$A:$A)))))))</f>
        <v>-475501461.75331497</v>
      </c>
      <c r="F160" s="12" t="str">
        <f t="shared" si="12"/>
        <v>Retenção Completa</v>
      </c>
    </row>
    <row r="161" spans="2:6" hidden="1" x14ac:dyDescent="0.3">
      <c r="B161" s="12">
        <v>44719</v>
      </c>
      <c r="C161" s="5">
        <f>+SUMIF('Direitos Creditórios'!B:B,Resumo!B161,'Direitos Creditórios'!A:A)</f>
        <v>0</v>
      </c>
      <c r="D161" s="6"/>
      <c r="E161" s="9">
        <f>IF(B161&lt;'Pagamento Estimado'!$C$7-30,0,+IF((SUMIFS('Direitos Creditórios'!A:A,'Direitos Creditórios'!B:B,"&gt;="&amp;Resumo!B161,'Direitos Creditórios'!B:B,"&lt;="&amp;(WORKDAY('Pagamento Estimado'!$C$7,-30,Feriados!$A:$A))))&gt;'Pagamento Estimado'!$C$15,"Não Reter",('Pagamento Estimado'!$C$15-(SUMIFS('Direitos Creditórios'!A:A,'Direitos Creditórios'!B:B,"&lt;="&amp;Resumo!B161,'Direitos Creditórios'!B:B,"&gt;="&amp;(WORKDAY('Pagamento Estimado'!$C$7,-30,Feriados!$A:$A)))))))</f>
        <v>-475501461.75331497</v>
      </c>
      <c r="F161" s="12" t="str">
        <f t="shared" si="12"/>
        <v>Retenção Completa</v>
      </c>
    </row>
    <row r="162" spans="2:6" hidden="1" x14ac:dyDescent="0.3">
      <c r="B162" s="12">
        <v>44720</v>
      </c>
      <c r="C162" s="5">
        <f>+SUMIF('Direitos Creditórios'!B:B,Resumo!B162,'Direitos Creditórios'!A:A)</f>
        <v>0</v>
      </c>
      <c r="D162" s="6"/>
      <c r="E162" s="9">
        <f>IF(B162&lt;'Pagamento Estimado'!$C$7-30,0,+IF((SUMIFS('Direitos Creditórios'!A:A,'Direitos Creditórios'!B:B,"&gt;="&amp;Resumo!B162,'Direitos Creditórios'!B:B,"&lt;="&amp;(WORKDAY('Pagamento Estimado'!$C$7,-30,Feriados!$A:$A))))&gt;'Pagamento Estimado'!$C$15,"Não Reter",('Pagamento Estimado'!$C$15-(SUMIFS('Direitos Creditórios'!A:A,'Direitos Creditórios'!B:B,"&lt;="&amp;Resumo!B162,'Direitos Creditórios'!B:B,"&gt;="&amp;(WORKDAY('Pagamento Estimado'!$C$7,-30,Feriados!$A:$A)))))))</f>
        <v>-475501461.75331497</v>
      </c>
      <c r="F162" s="12" t="str">
        <f t="shared" si="12"/>
        <v>Retenção Completa</v>
      </c>
    </row>
    <row r="163" spans="2:6" hidden="1" x14ac:dyDescent="0.3">
      <c r="B163" s="12">
        <v>44721</v>
      </c>
      <c r="C163" s="5">
        <f>+SUMIF('Direitos Creditórios'!B:B,Resumo!B163,'Direitos Creditórios'!A:A)</f>
        <v>0</v>
      </c>
      <c r="D163" s="6"/>
      <c r="E163" s="9">
        <f>IF(B163&lt;'Pagamento Estimado'!$C$7-30,0,+IF((SUMIFS('Direitos Creditórios'!A:A,'Direitos Creditórios'!B:B,"&gt;="&amp;Resumo!B163,'Direitos Creditórios'!B:B,"&lt;="&amp;(WORKDAY('Pagamento Estimado'!$C$7,-30,Feriados!$A:$A))))&gt;'Pagamento Estimado'!$C$15,"Não Reter",('Pagamento Estimado'!$C$15-(SUMIFS('Direitos Creditórios'!A:A,'Direitos Creditórios'!B:B,"&lt;="&amp;Resumo!B163,'Direitos Creditórios'!B:B,"&gt;="&amp;(WORKDAY('Pagamento Estimado'!$C$7,-30,Feriados!$A:$A)))))))</f>
        <v>-475501461.75331497</v>
      </c>
      <c r="F163" s="12" t="str">
        <f t="shared" si="12"/>
        <v>Retenção Completa</v>
      </c>
    </row>
    <row r="164" spans="2:6" hidden="1" x14ac:dyDescent="0.3">
      <c r="B164" s="12">
        <v>44722</v>
      </c>
      <c r="C164" s="5">
        <f>+SUMIF('Direitos Creditórios'!B:B,Resumo!B164,'Direitos Creditórios'!A:A)</f>
        <v>0</v>
      </c>
      <c r="D164" s="6"/>
      <c r="E164" s="9">
        <f>IF(B164&lt;'Pagamento Estimado'!$C$7-30,0,+IF((SUMIFS('Direitos Creditórios'!A:A,'Direitos Creditórios'!B:B,"&gt;="&amp;Resumo!B164,'Direitos Creditórios'!B:B,"&lt;="&amp;(WORKDAY('Pagamento Estimado'!$C$7,-30,Feriados!$A:$A))))&gt;'Pagamento Estimado'!$C$15,"Não Reter",('Pagamento Estimado'!$C$15-(SUMIFS('Direitos Creditórios'!A:A,'Direitos Creditórios'!B:B,"&lt;="&amp;Resumo!B164,'Direitos Creditórios'!B:B,"&gt;="&amp;(WORKDAY('Pagamento Estimado'!$C$7,-30,Feriados!$A:$A)))))))</f>
        <v>-475501461.75331497</v>
      </c>
      <c r="F164" s="12" t="str">
        <f t="shared" si="12"/>
        <v>Retenção Completa</v>
      </c>
    </row>
    <row r="165" spans="2:6" hidden="1" x14ac:dyDescent="0.3">
      <c r="B165" s="12">
        <v>44723</v>
      </c>
      <c r="C165" s="5">
        <f>+SUMIF('Direitos Creditórios'!B:B,Resumo!B165,'Direitos Creditórios'!A:A)</f>
        <v>0</v>
      </c>
      <c r="D165" s="6"/>
      <c r="E165" s="9">
        <f>IF(B165&lt;'Pagamento Estimado'!$C$7-30,0,+IF((SUMIFS('Direitos Creditórios'!A:A,'Direitos Creditórios'!B:B,"&gt;="&amp;Resumo!B165,'Direitos Creditórios'!B:B,"&lt;="&amp;(WORKDAY('Pagamento Estimado'!$C$7,-30,Feriados!$A:$A))))&gt;'Pagamento Estimado'!$C$15,"Não Reter",('Pagamento Estimado'!$C$15-(SUMIFS('Direitos Creditórios'!A:A,'Direitos Creditórios'!B:B,"&lt;="&amp;Resumo!B165,'Direitos Creditórios'!B:B,"&gt;="&amp;(WORKDAY('Pagamento Estimado'!$C$7,-30,Feriados!$A:$A)))))))</f>
        <v>-475501461.75331497</v>
      </c>
      <c r="F165" s="12" t="str">
        <f t="shared" si="12"/>
        <v>Retenção Completa</v>
      </c>
    </row>
    <row r="166" spans="2:6" hidden="1" x14ac:dyDescent="0.3">
      <c r="B166" s="12">
        <v>44724</v>
      </c>
      <c r="C166" s="5">
        <f>+SUMIF('Direitos Creditórios'!B:B,Resumo!B166,'Direitos Creditórios'!A:A)</f>
        <v>0</v>
      </c>
      <c r="D166" s="6"/>
      <c r="E166" s="9">
        <f>IF(B166&lt;'Pagamento Estimado'!$C$7-30,0,+IF((SUMIFS('Direitos Creditórios'!A:A,'Direitos Creditórios'!B:B,"&gt;="&amp;Resumo!B166,'Direitos Creditórios'!B:B,"&lt;="&amp;(WORKDAY('Pagamento Estimado'!$C$7,-30,Feriados!$A:$A))))&gt;'Pagamento Estimado'!$C$15,"Não Reter",('Pagamento Estimado'!$C$15-(SUMIFS('Direitos Creditórios'!A:A,'Direitos Creditórios'!B:B,"&lt;="&amp;Resumo!B166,'Direitos Creditórios'!B:B,"&gt;="&amp;(WORKDAY('Pagamento Estimado'!$C$7,-30,Feriados!$A:$A)))))))</f>
        <v>-475501461.75331497</v>
      </c>
      <c r="F166" s="12" t="str">
        <f t="shared" si="12"/>
        <v>Retenção Completa</v>
      </c>
    </row>
    <row r="167" spans="2:6" hidden="1" x14ac:dyDescent="0.3">
      <c r="B167" s="12">
        <v>44725</v>
      </c>
      <c r="C167" s="5">
        <f>+SUMIF('Direitos Creditórios'!B:B,Resumo!B167,'Direitos Creditórios'!A:A)</f>
        <v>0</v>
      </c>
      <c r="D167" s="6"/>
      <c r="E167" s="9">
        <f>IF(B167&lt;'Pagamento Estimado'!$C$7-30,0,+IF((SUMIFS('Direitos Creditórios'!A:A,'Direitos Creditórios'!B:B,"&gt;="&amp;Resumo!B167,'Direitos Creditórios'!B:B,"&lt;="&amp;(WORKDAY('Pagamento Estimado'!$C$7,-30,Feriados!$A:$A))))&gt;'Pagamento Estimado'!$C$15,"Não Reter",('Pagamento Estimado'!$C$15-(SUMIFS('Direitos Creditórios'!A:A,'Direitos Creditórios'!B:B,"&lt;="&amp;Resumo!B167,'Direitos Creditórios'!B:B,"&gt;="&amp;(WORKDAY('Pagamento Estimado'!$C$7,-30,Feriados!$A:$A)))))))</f>
        <v>-475501461.75331497</v>
      </c>
      <c r="F167" s="12" t="str">
        <f t="shared" si="12"/>
        <v>Retenção Completa</v>
      </c>
    </row>
    <row r="168" spans="2:6" hidden="1" x14ac:dyDescent="0.3">
      <c r="B168" s="12">
        <v>44726</v>
      </c>
      <c r="C168" s="5">
        <f>+SUMIF('Direitos Creditórios'!B:B,Resumo!B168,'Direitos Creditórios'!A:A)</f>
        <v>0</v>
      </c>
      <c r="D168" s="6"/>
      <c r="E168" s="9">
        <f>IF(B168&lt;'Pagamento Estimado'!$C$7-30,0,+IF((SUMIFS('Direitos Creditórios'!A:A,'Direitos Creditórios'!B:B,"&gt;="&amp;Resumo!B168,'Direitos Creditórios'!B:B,"&lt;="&amp;(WORKDAY('Pagamento Estimado'!$C$7,-30,Feriados!$A:$A))))&gt;'Pagamento Estimado'!$C$15,"Não Reter",('Pagamento Estimado'!$C$15-(SUMIFS('Direitos Creditórios'!A:A,'Direitos Creditórios'!B:B,"&lt;="&amp;Resumo!B168,'Direitos Creditórios'!B:B,"&gt;="&amp;(WORKDAY('Pagamento Estimado'!$C$7,-30,Feriados!$A:$A)))))))</f>
        <v>-475501461.75331497</v>
      </c>
      <c r="F168" s="12" t="str">
        <f t="shared" si="12"/>
        <v>Retenção Completa</v>
      </c>
    </row>
    <row r="169" spans="2:6" hidden="1" x14ac:dyDescent="0.3">
      <c r="B169" s="12">
        <v>44727</v>
      </c>
      <c r="C169" s="5">
        <f>+SUMIF('Direitos Creditórios'!B:B,Resumo!B169,'Direitos Creditórios'!A:A)</f>
        <v>0</v>
      </c>
      <c r="D169" s="6"/>
      <c r="E169" s="9">
        <f>IF(B169&lt;'Pagamento Estimado'!$C$7-30,0,+IF((SUMIFS('Direitos Creditórios'!A:A,'Direitos Creditórios'!B:B,"&gt;="&amp;Resumo!B169,'Direitos Creditórios'!B:B,"&lt;="&amp;(WORKDAY('Pagamento Estimado'!$C$7,-30,Feriados!$A:$A))))&gt;'Pagamento Estimado'!$C$15,"Não Reter",('Pagamento Estimado'!$C$15-(SUMIFS('Direitos Creditórios'!A:A,'Direitos Creditórios'!B:B,"&lt;="&amp;Resumo!B169,'Direitos Creditórios'!B:B,"&gt;="&amp;(WORKDAY('Pagamento Estimado'!$C$7,-30,Feriados!$A:$A)))))))</f>
        <v>-475501461.75331497</v>
      </c>
      <c r="F169" s="12" t="str">
        <f t="shared" si="12"/>
        <v>Retenção Completa</v>
      </c>
    </row>
    <row r="170" spans="2:6" hidden="1" x14ac:dyDescent="0.3">
      <c r="B170" s="12">
        <v>44728</v>
      </c>
      <c r="C170" s="5">
        <f>+SUMIF('Direitos Creditórios'!B:B,Resumo!B170,'Direitos Creditórios'!A:A)</f>
        <v>0</v>
      </c>
      <c r="D170" s="6"/>
      <c r="E170" s="9">
        <f>IF(B170&lt;'Pagamento Estimado'!$C$7-30,0,+IF((SUMIFS('Direitos Creditórios'!A:A,'Direitos Creditórios'!B:B,"&gt;="&amp;Resumo!B170,'Direitos Creditórios'!B:B,"&lt;="&amp;(WORKDAY('Pagamento Estimado'!$C$7,-30,Feriados!$A:$A))))&gt;'Pagamento Estimado'!$C$15,"Não Reter",('Pagamento Estimado'!$C$15-(SUMIFS('Direitos Creditórios'!A:A,'Direitos Creditórios'!B:B,"&lt;="&amp;Resumo!B170,'Direitos Creditórios'!B:B,"&gt;="&amp;(WORKDAY('Pagamento Estimado'!$C$7,-30,Feriados!$A:$A)))))))</f>
        <v>-475501461.75331497</v>
      </c>
      <c r="F170" s="12" t="str">
        <f t="shared" si="12"/>
        <v>Retenção Completa</v>
      </c>
    </row>
    <row r="171" spans="2:6" hidden="1" x14ac:dyDescent="0.3">
      <c r="B171" s="12">
        <v>44729</v>
      </c>
      <c r="C171" s="5">
        <f>+SUMIF('Direitos Creditórios'!B:B,Resumo!B171,'Direitos Creditórios'!A:A)</f>
        <v>0</v>
      </c>
      <c r="D171" s="6"/>
      <c r="E171" s="9">
        <f>IF(B171&lt;'Pagamento Estimado'!$C$7-30,0,+IF((SUMIFS('Direitos Creditórios'!A:A,'Direitos Creditórios'!B:B,"&gt;="&amp;Resumo!B171,'Direitos Creditórios'!B:B,"&lt;="&amp;(WORKDAY('Pagamento Estimado'!$C$7,-30,Feriados!$A:$A))))&gt;'Pagamento Estimado'!$C$15,"Não Reter",('Pagamento Estimado'!$C$15-(SUMIFS('Direitos Creditórios'!A:A,'Direitos Creditórios'!B:B,"&lt;="&amp;Resumo!B171,'Direitos Creditórios'!B:B,"&gt;="&amp;(WORKDAY('Pagamento Estimado'!$C$7,-30,Feriados!$A:$A)))))))</f>
        <v>-475501461.75331497</v>
      </c>
      <c r="F171" s="12" t="str">
        <f t="shared" si="12"/>
        <v>Retenção Completa</v>
      </c>
    </row>
    <row r="172" spans="2:6" hidden="1" x14ac:dyDescent="0.3">
      <c r="B172" s="12">
        <v>44730</v>
      </c>
      <c r="C172" s="5">
        <f>+SUMIF('Direitos Creditórios'!B:B,Resumo!B172,'Direitos Creditórios'!A:A)</f>
        <v>0</v>
      </c>
      <c r="D172" s="6"/>
      <c r="E172" s="9">
        <f>IF(B172&lt;'Pagamento Estimado'!$C$7-30,0,+IF((SUMIFS('Direitos Creditórios'!A:A,'Direitos Creditórios'!B:B,"&gt;="&amp;Resumo!B172,'Direitos Creditórios'!B:B,"&lt;="&amp;(WORKDAY('Pagamento Estimado'!$C$7,-30,Feriados!$A:$A))))&gt;'Pagamento Estimado'!$C$15,"Não Reter",('Pagamento Estimado'!$C$15-(SUMIFS('Direitos Creditórios'!A:A,'Direitos Creditórios'!B:B,"&lt;="&amp;Resumo!B172,'Direitos Creditórios'!B:B,"&gt;="&amp;(WORKDAY('Pagamento Estimado'!$C$7,-30,Feriados!$A:$A)))))))</f>
        <v>-475501461.75331497</v>
      </c>
      <c r="F172" s="12" t="str">
        <f t="shared" ref="F172:F205" si="13">+IF(E172&lt;0,"Retenção Completa"," ")</f>
        <v>Retenção Completa</v>
      </c>
    </row>
    <row r="173" spans="2:6" hidden="1" x14ac:dyDescent="0.3">
      <c r="B173" s="12">
        <v>44731</v>
      </c>
      <c r="C173" s="5">
        <f>+SUMIF('Direitos Creditórios'!B:B,Resumo!B173,'Direitos Creditórios'!A:A)</f>
        <v>0</v>
      </c>
      <c r="D173" s="6"/>
      <c r="E173" s="9">
        <f>IF(B173&lt;'Pagamento Estimado'!$C$7-30,0,+IF((SUMIFS('Direitos Creditórios'!A:A,'Direitos Creditórios'!B:B,"&gt;="&amp;Resumo!B173,'Direitos Creditórios'!B:B,"&lt;="&amp;(WORKDAY('Pagamento Estimado'!$C$7,-30,Feriados!$A:$A))))&gt;'Pagamento Estimado'!$C$15,"Não Reter",('Pagamento Estimado'!$C$15-(SUMIFS('Direitos Creditórios'!A:A,'Direitos Creditórios'!B:B,"&lt;="&amp;Resumo!B173,'Direitos Creditórios'!B:B,"&gt;="&amp;(WORKDAY('Pagamento Estimado'!$C$7,-30,Feriados!$A:$A)))))))</f>
        <v>-475501461.75331497</v>
      </c>
      <c r="F173" s="12" t="str">
        <f t="shared" si="13"/>
        <v>Retenção Completa</v>
      </c>
    </row>
    <row r="174" spans="2:6" hidden="1" x14ac:dyDescent="0.3">
      <c r="B174" s="12">
        <v>44732</v>
      </c>
      <c r="C174" s="5">
        <f>+SUMIF('Direitos Creditórios'!B:B,Resumo!B174,'Direitos Creditórios'!A:A)</f>
        <v>0</v>
      </c>
      <c r="D174" s="6"/>
      <c r="E174" s="9">
        <f>IF(B174&lt;'Pagamento Estimado'!$C$7-30,0,+IF((SUMIFS('Direitos Creditórios'!A:A,'Direitos Creditórios'!B:B,"&gt;="&amp;Resumo!B174,'Direitos Creditórios'!B:B,"&lt;="&amp;(WORKDAY('Pagamento Estimado'!$C$7,-30,Feriados!$A:$A))))&gt;'Pagamento Estimado'!$C$15,"Não Reter",('Pagamento Estimado'!$C$15-(SUMIFS('Direitos Creditórios'!A:A,'Direitos Creditórios'!B:B,"&lt;="&amp;Resumo!B174,'Direitos Creditórios'!B:B,"&gt;="&amp;(WORKDAY('Pagamento Estimado'!$C$7,-30,Feriados!$A:$A)))))))</f>
        <v>-475501461.75331497</v>
      </c>
      <c r="F174" s="12" t="str">
        <f t="shared" si="13"/>
        <v>Retenção Completa</v>
      </c>
    </row>
    <row r="175" spans="2:6" hidden="1" x14ac:dyDescent="0.3">
      <c r="B175" s="12">
        <v>44733</v>
      </c>
      <c r="C175" s="5">
        <f>+SUMIF('Direitos Creditórios'!B:B,Resumo!B175,'Direitos Creditórios'!A:A)</f>
        <v>0</v>
      </c>
      <c r="D175" s="6"/>
      <c r="E175" s="9">
        <f>IF(B175&lt;'Pagamento Estimado'!$C$7-30,0,+IF((SUMIFS('Direitos Creditórios'!A:A,'Direitos Creditórios'!B:B,"&gt;="&amp;Resumo!B175,'Direitos Creditórios'!B:B,"&lt;="&amp;(WORKDAY('Pagamento Estimado'!$C$7,-30,Feriados!$A:$A))))&gt;'Pagamento Estimado'!$C$15,"Não Reter",('Pagamento Estimado'!$C$15-(SUMIFS('Direitos Creditórios'!A:A,'Direitos Creditórios'!B:B,"&lt;="&amp;Resumo!B175,'Direitos Creditórios'!B:B,"&gt;="&amp;(WORKDAY('Pagamento Estimado'!$C$7,-30,Feriados!$A:$A)))))))</f>
        <v>-475501461.75331497</v>
      </c>
      <c r="F175" s="12" t="str">
        <f t="shared" si="13"/>
        <v>Retenção Completa</v>
      </c>
    </row>
    <row r="176" spans="2:6" hidden="1" x14ac:dyDescent="0.3">
      <c r="B176" s="12">
        <v>44734</v>
      </c>
      <c r="C176" s="5">
        <f>+SUMIF('Direitos Creditórios'!B:B,Resumo!B176,'Direitos Creditórios'!A:A)</f>
        <v>0</v>
      </c>
      <c r="D176" s="6"/>
      <c r="E176" s="9">
        <f>IF(B176&lt;'Pagamento Estimado'!$C$7-30,0,+IF((SUMIFS('Direitos Creditórios'!A:A,'Direitos Creditórios'!B:B,"&gt;="&amp;Resumo!B176,'Direitos Creditórios'!B:B,"&lt;="&amp;(WORKDAY('Pagamento Estimado'!$C$7,-30,Feriados!$A:$A))))&gt;'Pagamento Estimado'!$C$15,"Não Reter",('Pagamento Estimado'!$C$15-(SUMIFS('Direitos Creditórios'!A:A,'Direitos Creditórios'!B:B,"&lt;="&amp;Resumo!B176,'Direitos Creditórios'!B:B,"&gt;="&amp;(WORKDAY('Pagamento Estimado'!$C$7,-30,Feriados!$A:$A)))))))</f>
        <v>-475501461.75331497</v>
      </c>
      <c r="F176" s="12" t="str">
        <f t="shared" si="13"/>
        <v>Retenção Completa</v>
      </c>
    </row>
    <row r="177" spans="2:6" hidden="1" x14ac:dyDescent="0.3">
      <c r="B177" s="12">
        <v>44735</v>
      </c>
      <c r="C177" s="5">
        <f>+SUMIF('Direitos Creditórios'!B:B,Resumo!B177,'Direitos Creditórios'!A:A)</f>
        <v>0</v>
      </c>
      <c r="D177" s="6"/>
      <c r="E177" s="9">
        <f>IF(B177&lt;'Pagamento Estimado'!$C$7-30,0,+IF((SUMIFS('Direitos Creditórios'!A:A,'Direitos Creditórios'!B:B,"&gt;="&amp;Resumo!B177,'Direitos Creditórios'!B:B,"&lt;="&amp;(WORKDAY('Pagamento Estimado'!$C$7,-30,Feriados!$A:$A))))&gt;'Pagamento Estimado'!$C$15,"Não Reter",('Pagamento Estimado'!$C$15-(SUMIFS('Direitos Creditórios'!A:A,'Direitos Creditórios'!B:B,"&lt;="&amp;Resumo!B177,'Direitos Creditórios'!B:B,"&gt;="&amp;(WORKDAY('Pagamento Estimado'!$C$7,-30,Feriados!$A:$A)))))))</f>
        <v>-475501461.75331497</v>
      </c>
      <c r="F177" s="12" t="str">
        <f t="shared" si="13"/>
        <v>Retenção Completa</v>
      </c>
    </row>
    <row r="178" spans="2:6" hidden="1" x14ac:dyDescent="0.3">
      <c r="B178" s="12">
        <v>44736</v>
      </c>
      <c r="C178" s="5">
        <f>+SUMIF('Direitos Creditórios'!B:B,Resumo!B178,'Direitos Creditórios'!A:A)</f>
        <v>0</v>
      </c>
      <c r="D178" s="6"/>
      <c r="E178" s="9">
        <f>IF(B178&lt;'Pagamento Estimado'!$C$7-30,0,+IF((SUMIFS('Direitos Creditórios'!A:A,'Direitos Creditórios'!B:B,"&gt;="&amp;Resumo!B178,'Direitos Creditórios'!B:B,"&lt;="&amp;(WORKDAY('Pagamento Estimado'!$C$7,-30,Feriados!$A:$A))))&gt;'Pagamento Estimado'!$C$15,"Não Reter",('Pagamento Estimado'!$C$15-(SUMIFS('Direitos Creditórios'!A:A,'Direitos Creditórios'!B:B,"&lt;="&amp;Resumo!B178,'Direitos Creditórios'!B:B,"&gt;="&amp;(WORKDAY('Pagamento Estimado'!$C$7,-30,Feriados!$A:$A)))))))</f>
        <v>-475501461.75331497</v>
      </c>
      <c r="F178" s="12" t="str">
        <f t="shared" si="13"/>
        <v>Retenção Completa</v>
      </c>
    </row>
    <row r="179" spans="2:6" hidden="1" x14ac:dyDescent="0.3">
      <c r="B179" s="12">
        <v>44737</v>
      </c>
      <c r="C179" s="5">
        <f>+SUMIF('Direitos Creditórios'!B:B,Resumo!B179,'Direitos Creditórios'!A:A)</f>
        <v>0</v>
      </c>
      <c r="D179" s="6"/>
      <c r="E179" s="9">
        <f>IF(B179&lt;'Pagamento Estimado'!$C$7-30,0,+IF((SUMIFS('Direitos Creditórios'!A:A,'Direitos Creditórios'!B:B,"&gt;="&amp;Resumo!B179,'Direitos Creditórios'!B:B,"&lt;="&amp;(WORKDAY('Pagamento Estimado'!$C$7,-30,Feriados!$A:$A))))&gt;'Pagamento Estimado'!$C$15,"Não Reter",('Pagamento Estimado'!$C$15-(SUMIFS('Direitos Creditórios'!A:A,'Direitos Creditórios'!B:B,"&lt;="&amp;Resumo!B179,'Direitos Creditórios'!B:B,"&gt;="&amp;(WORKDAY('Pagamento Estimado'!$C$7,-30,Feriados!$A:$A)))))))</f>
        <v>-475501461.75331497</v>
      </c>
      <c r="F179" s="12" t="str">
        <f t="shared" si="13"/>
        <v>Retenção Completa</v>
      </c>
    </row>
    <row r="180" spans="2:6" hidden="1" x14ac:dyDescent="0.3">
      <c r="B180" s="12">
        <v>44738</v>
      </c>
      <c r="C180" s="5">
        <f>+SUMIF('Direitos Creditórios'!B:B,Resumo!B180,'Direitos Creditórios'!A:A)</f>
        <v>0</v>
      </c>
      <c r="D180" s="6"/>
      <c r="E180" s="9">
        <f>IF(B180&lt;'Pagamento Estimado'!$C$7-30,0,+IF((SUMIFS('Direitos Creditórios'!A:A,'Direitos Creditórios'!B:B,"&gt;="&amp;Resumo!B180,'Direitos Creditórios'!B:B,"&lt;="&amp;(WORKDAY('Pagamento Estimado'!$C$7,-30,Feriados!$A:$A))))&gt;'Pagamento Estimado'!$C$15,"Não Reter",('Pagamento Estimado'!$C$15-(SUMIFS('Direitos Creditórios'!A:A,'Direitos Creditórios'!B:B,"&lt;="&amp;Resumo!B180,'Direitos Creditórios'!B:B,"&gt;="&amp;(WORKDAY('Pagamento Estimado'!$C$7,-30,Feriados!$A:$A)))))))</f>
        <v>-475501461.75331497</v>
      </c>
      <c r="F180" s="12" t="str">
        <f t="shared" si="13"/>
        <v>Retenção Completa</v>
      </c>
    </row>
    <row r="181" spans="2:6" hidden="1" x14ac:dyDescent="0.3">
      <c r="B181" s="12">
        <v>44739</v>
      </c>
      <c r="C181" s="5">
        <f>+SUMIF('Direitos Creditórios'!B:B,Resumo!B181,'Direitos Creditórios'!A:A)</f>
        <v>0</v>
      </c>
      <c r="D181" s="6"/>
      <c r="E181" s="9">
        <f>IF(B181&lt;'Pagamento Estimado'!$C$7-30,0,+IF((SUMIFS('Direitos Creditórios'!A:A,'Direitos Creditórios'!B:B,"&gt;="&amp;Resumo!B181,'Direitos Creditórios'!B:B,"&lt;="&amp;(WORKDAY('Pagamento Estimado'!$C$7,-30,Feriados!$A:$A))))&gt;'Pagamento Estimado'!$C$15,"Não Reter",('Pagamento Estimado'!$C$15-(SUMIFS('Direitos Creditórios'!A:A,'Direitos Creditórios'!B:B,"&lt;="&amp;Resumo!B181,'Direitos Creditórios'!B:B,"&gt;="&amp;(WORKDAY('Pagamento Estimado'!$C$7,-30,Feriados!$A:$A)))))))</f>
        <v>-475501461.75331497</v>
      </c>
      <c r="F181" s="12" t="str">
        <f t="shared" si="13"/>
        <v>Retenção Completa</v>
      </c>
    </row>
    <row r="182" spans="2:6" hidden="1" x14ac:dyDescent="0.3">
      <c r="B182" s="12">
        <v>44740</v>
      </c>
      <c r="C182" s="5">
        <f>+SUMIF('Direitos Creditórios'!B:B,Resumo!B182,'Direitos Creditórios'!A:A)</f>
        <v>0</v>
      </c>
      <c r="D182" s="6"/>
      <c r="E182" s="9">
        <f>IF(B182&lt;'Pagamento Estimado'!$C$7-30,0,+IF((SUMIFS('Direitos Creditórios'!A:A,'Direitos Creditórios'!B:B,"&gt;="&amp;Resumo!B182,'Direitos Creditórios'!B:B,"&lt;="&amp;(WORKDAY('Pagamento Estimado'!$C$7,-30,Feriados!$A:$A))))&gt;'Pagamento Estimado'!$C$15,"Não Reter",('Pagamento Estimado'!$C$15-(SUMIFS('Direitos Creditórios'!A:A,'Direitos Creditórios'!B:B,"&lt;="&amp;Resumo!B182,'Direitos Creditórios'!B:B,"&gt;="&amp;(WORKDAY('Pagamento Estimado'!$C$7,-30,Feriados!$A:$A)))))))</f>
        <v>-475501461.75331497</v>
      </c>
      <c r="F182" s="12" t="str">
        <f t="shared" si="13"/>
        <v>Retenção Completa</v>
      </c>
    </row>
    <row r="183" spans="2:6" hidden="1" x14ac:dyDescent="0.3">
      <c r="B183" s="12">
        <v>44741</v>
      </c>
      <c r="C183" s="5">
        <f>+SUMIF('Direitos Creditórios'!B:B,Resumo!B183,'Direitos Creditórios'!A:A)</f>
        <v>0</v>
      </c>
      <c r="D183" s="6"/>
      <c r="E183" s="9">
        <f>IF(B183&lt;'Pagamento Estimado'!$C$7-30,0,+IF((SUMIFS('Direitos Creditórios'!A:A,'Direitos Creditórios'!B:B,"&gt;="&amp;Resumo!B183,'Direitos Creditórios'!B:B,"&lt;="&amp;(WORKDAY('Pagamento Estimado'!$C$7,-30,Feriados!$A:$A))))&gt;'Pagamento Estimado'!$C$15,"Não Reter",('Pagamento Estimado'!$C$15-(SUMIFS('Direitos Creditórios'!A:A,'Direitos Creditórios'!B:B,"&lt;="&amp;Resumo!B183,'Direitos Creditórios'!B:B,"&gt;="&amp;(WORKDAY('Pagamento Estimado'!$C$7,-30,Feriados!$A:$A)))))))</f>
        <v>-475501461.75331497</v>
      </c>
      <c r="F183" s="12" t="str">
        <f t="shared" si="13"/>
        <v>Retenção Completa</v>
      </c>
    </row>
    <row r="184" spans="2:6" hidden="1" x14ac:dyDescent="0.3">
      <c r="B184" s="12">
        <v>44742</v>
      </c>
      <c r="C184" s="5">
        <f>+SUMIF('Direitos Creditórios'!B:B,Resumo!B184,'Direitos Creditórios'!A:A)</f>
        <v>0</v>
      </c>
      <c r="D184" s="6"/>
      <c r="E184" s="9">
        <f>IF(B184&lt;'Pagamento Estimado'!$C$7-30,0,+IF((SUMIFS('Direitos Creditórios'!A:A,'Direitos Creditórios'!B:B,"&gt;="&amp;Resumo!B184,'Direitos Creditórios'!B:B,"&lt;="&amp;(WORKDAY('Pagamento Estimado'!$C$7,-30,Feriados!$A:$A))))&gt;'Pagamento Estimado'!$C$15,"Não Reter",('Pagamento Estimado'!$C$15-(SUMIFS('Direitos Creditórios'!A:A,'Direitos Creditórios'!B:B,"&lt;="&amp;Resumo!B184,'Direitos Creditórios'!B:B,"&gt;="&amp;(WORKDAY('Pagamento Estimado'!$C$7,-30,Feriados!$A:$A)))))))</f>
        <v>-475501461.75331497</v>
      </c>
      <c r="F184" s="12" t="str">
        <f t="shared" si="13"/>
        <v>Retenção Completa</v>
      </c>
    </row>
    <row r="185" spans="2:6" hidden="1" x14ac:dyDescent="0.3">
      <c r="B185" s="12">
        <v>44743</v>
      </c>
      <c r="C185" s="5">
        <f>+SUMIF('Direitos Creditórios'!B:B,Resumo!B185,'Direitos Creditórios'!A:A)</f>
        <v>0</v>
      </c>
      <c r="D185" s="6"/>
      <c r="E185" s="9">
        <f>IF(B185&lt;'Pagamento Estimado'!$C$7-30,0,+IF((SUMIFS('Direitos Creditórios'!A:A,'Direitos Creditórios'!B:B,"&gt;="&amp;Resumo!B185,'Direitos Creditórios'!B:B,"&lt;="&amp;(WORKDAY('Pagamento Estimado'!$C$7,-30,Feriados!$A:$A))))&gt;'Pagamento Estimado'!$C$15,"Não Reter",('Pagamento Estimado'!$C$15-(SUMIFS('Direitos Creditórios'!A:A,'Direitos Creditórios'!B:B,"&lt;="&amp;Resumo!B185,'Direitos Creditórios'!B:B,"&gt;="&amp;(WORKDAY('Pagamento Estimado'!$C$7,-30,Feriados!$A:$A)))))))</f>
        <v>-475501461.75331497</v>
      </c>
      <c r="F185" s="12" t="str">
        <f t="shared" si="13"/>
        <v>Retenção Completa</v>
      </c>
    </row>
    <row r="186" spans="2:6" hidden="1" x14ac:dyDescent="0.3">
      <c r="B186" s="12">
        <v>44744</v>
      </c>
      <c r="C186" s="5">
        <f>+SUMIF('Direitos Creditórios'!B:B,Resumo!B186,'Direitos Creditórios'!A:A)</f>
        <v>0</v>
      </c>
      <c r="D186" s="6"/>
      <c r="E186" s="9">
        <f>IF(B186&lt;'Pagamento Estimado'!$C$7-30,0,+IF((SUMIFS('Direitos Creditórios'!A:A,'Direitos Creditórios'!B:B,"&gt;="&amp;Resumo!B186,'Direitos Creditórios'!B:B,"&lt;="&amp;(WORKDAY('Pagamento Estimado'!$C$7,-30,Feriados!$A:$A))))&gt;'Pagamento Estimado'!$C$15,"Não Reter",('Pagamento Estimado'!$C$15-(SUMIFS('Direitos Creditórios'!A:A,'Direitos Creditórios'!B:B,"&lt;="&amp;Resumo!B186,'Direitos Creditórios'!B:B,"&gt;="&amp;(WORKDAY('Pagamento Estimado'!$C$7,-30,Feriados!$A:$A)))))))</f>
        <v>-475501461.75331497</v>
      </c>
      <c r="F186" s="12" t="str">
        <f t="shared" si="13"/>
        <v>Retenção Completa</v>
      </c>
    </row>
    <row r="187" spans="2:6" hidden="1" x14ac:dyDescent="0.3">
      <c r="B187" s="12">
        <v>44745</v>
      </c>
      <c r="C187" s="5">
        <f>+SUMIF('Direitos Creditórios'!B:B,Resumo!B187,'Direitos Creditórios'!A:A)</f>
        <v>0</v>
      </c>
      <c r="D187" s="6"/>
      <c r="E187" s="9">
        <f>IF(B187&lt;'Pagamento Estimado'!$C$7-30,0,+IF((SUMIFS('Direitos Creditórios'!A:A,'Direitos Creditórios'!B:B,"&gt;="&amp;Resumo!B187,'Direitos Creditórios'!B:B,"&lt;="&amp;(WORKDAY('Pagamento Estimado'!$C$7,-30,Feriados!$A:$A))))&gt;'Pagamento Estimado'!$C$15,"Não Reter",('Pagamento Estimado'!$C$15-(SUMIFS('Direitos Creditórios'!A:A,'Direitos Creditórios'!B:B,"&lt;="&amp;Resumo!B187,'Direitos Creditórios'!B:B,"&gt;="&amp;(WORKDAY('Pagamento Estimado'!$C$7,-30,Feriados!$A:$A)))))))</f>
        <v>-475501461.75331497</v>
      </c>
      <c r="F187" s="12" t="str">
        <f t="shared" si="13"/>
        <v>Retenção Completa</v>
      </c>
    </row>
    <row r="188" spans="2:6" hidden="1" x14ac:dyDescent="0.3">
      <c r="B188" s="12">
        <v>44746</v>
      </c>
      <c r="C188" s="5">
        <f>+SUMIF('Direitos Creditórios'!B:B,Resumo!B188,'Direitos Creditórios'!A:A)</f>
        <v>0</v>
      </c>
      <c r="D188" s="6"/>
      <c r="E188" s="9">
        <f>IF(B188&lt;'Pagamento Estimado'!$C$7-30,0,+IF((SUMIFS('Direitos Creditórios'!A:A,'Direitos Creditórios'!B:B,"&gt;="&amp;Resumo!B188,'Direitos Creditórios'!B:B,"&lt;="&amp;(WORKDAY('Pagamento Estimado'!$C$7,-30,Feriados!$A:$A))))&gt;'Pagamento Estimado'!$C$15,"Não Reter",('Pagamento Estimado'!$C$15-(SUMIFS('Direitos Creditórios'!A:A,'Direitos Creditórios'!B:B,"&lt;="&amp;Resumo!B188,'Direitos Creditórios'!B:B,"&gt;="&amp;(WORKDAY('Pagamento Estimado'!$C$7,-30,Feriados!$A:$A)))))))</f>
        <v>-475501461.75331497</v>
      </c>
      <c r="F188" s="12" t="str">
        <f t="shared" si="13"/>
        <v>Retenção Completa</v>
      </c>
    </row>
    <row r="189" spans="2:6" hidden="1" x14ac:dyDescent="0.3">
      <c r="B189" s="12">
        <v>44747</v>
      </c>
      <c r="C189" s="5">
        <f>+SUMIF('Direitos Creditórios'!B:B,Resumo!B189,'Direitos Creditórios'!A:A)</f>
        <v>0</v>
      </c>
      <c r="D189" s="6"/>
      <c r="E189" s="9">
        <f>IF(B189&lt;'Pagamento Estimado'!$C$7-30,0,+IF((SUMIFS('Direitos Creditórios'!A:A,'Direitos Creditórios'!B:B,"&gt;="&amp;Resumo!B189,'Direitos Creditórios'!B:B,"&lt;="&amp;(WORKDAY('Pagamento Estimado'!$C$7,-30,Feriados!$A:$A))))&gt;'Pagamento Estimado'!$C$15,"Não Reter",('Pagamento Estimado'!$C$15-(SUMIFS('Direitos Creditórios'!A:A,'Direitos Creditórios'!B:B,"&lt;="&amp;Resumo!B189,'Direitos Creditórios'!B:B,"&gt;="&amp;(WORKDAY('Pagamento Estimado'!$C$7,-30,Feriados!$A:$A)))))))</f>
        <v>-475501461.75331497</v>
      </c>
      <c r="F189" s="12" t="str">
        <f t="shared" si="13"/>
        <v>Retenção Completa</v>
      </c>
    </row>
    <row r="190" spans="2:6" hidden="1" x14ac:dyDescent="0.3">
      <c r="B190" s="12">
        <v>44748</v>
      </c>
      <c r="C190" s="5">
        <f>+SUMIF('Direitos Creditórios'!B:B,Resumo!B190,'Direitos Creditórios'!A:A)</f>
        <v>0</v>
      </c>
      <c r="D190" s="6"/>
      <c r="E190" s="9">
        <f>IF(B190&lt;'Pagamento Estimado'!$C$7-30,0,+IF((SUMIFS('Direitos Creditórios'!A:A,'Direitos Creditórios'!B:B,"&gt;="&amp;Resumo!B190,'Direitos Creditórios'!B:B,"&lt;="&amp;(WORKDAY('Pagamento Estimado'!$C$7,-30,Feriados!$A:$A))))&gt;'Pagamento Estimado'!$C$15,"Não Reter",('Pagamento Estimado'!$C$15-(SUMIFS('Direitos Creditórios'!A:A,'Direitos Creditórios'!B:B,"&lt;="&amp;Resumo!B190,'Direitos Creditórios'!B:B,"&gt;="&amp;(WORKDAY('Pagamento Estimado'!$C$7,-30,Feriados!$A:$A)))))))</f>
        <v>-475501461.75331497</v>
      </c>
      <c r="F190" s="12" t="str">
        <f t="shared" si="13"/>
        <v>Retenção Completa</v>
      </c>
    </row>
    <row r="191" spans="2:6" hidden="1" x14ac:dyDescent="0.3">
      <c r="B191" s="12">
        <v>44749</v>
      </c>
      <c r="C191" s="5">
        <f>+SUMIF('Direitos Creditórios'!B:B,Resumo!B191,'Direitos Creditórios'!A:A)</f>
        <v>0</v>
      </c>
      <c r="D191" s="6"/>
      <c r="E191" s="9">
        <f>IF(B191&lt;'Pagamento Estimado'!$C$7-30,0,+IF((SUMIFS('Direitos Creditórios'!A:A,'Direitos Creditórios'!B:B,"&gt;="&amp;Resumo!B191,'Direitos Creditórios'!B:B,"&lt;="&amp;(WORKDAY('Pagamento Estimado'!$C$7,-30,Feriados!$A:$A))))&gt;'Pagamento Estimado'!$C$15,"Não Reter",('Pagamento Estimado'!$C$15-(SUMIFS('Direitos Creditórios'!A:A,'Direitos Creditórios'!B:B,"&lt;="&amp;Resumo!B191,'Direitos Creditórios'!B:B,"&gt;="&amp;(WORKDAY('Pagamento Estimado'!$C$7,-30,Feriados!$A:$A)))))))</f>
        <v>-475501461.75331497</v>
      </c>
      <c r="F191" s="12" t="str">
        <f t="shared" si="13"/>
        <v>Retenção Completa</v>
      </c>
    </row>
    <row r="192" spans="2:6" hidden="1" x14ac:dyDescent="0.3">
      <c r="B192" s="12">
        <v>44750</v>
      </c>
      <c r="C192" s="5">
        <f>+SUMIF('Direitos Creditórios'!B:B,Resumo!B192,'Direitos Creditórios'!A:A)</f>
        <v>0</v>
      </c>
      <c r="D192" s="6"/>
      <c r="E192" s="9">
        <f>IF(B192&lt;'Pagamento Estimado'!$C$7-30,0,+IF((SUMIFS('Direitos Creditórios'!A:A,'Direitos Creditórios'!B:B,"&gt;="&amp;Resumo!B192,'Direitos Creditórios'!B:B,"&lt;="&amp;(WORKDAY('Pagamento Estimado'!$C$7,-30,Feriados!$A:$A))))&gt;'Pagamento Estimado'!$C$15,"Não Reter",('Pagamento Estimado'!$C$15-(SUMIFS('Direitos Creditórios'!A:A,'Direitos Creditórios'!B:B,"&lt;="&amp;Resumo!B192,'Direitos Creditórios'!B:B,"&gt;="&amp;(WORKDAY('Pagamento Estimado'!$C$7,-30,Feriados!$A:$A)))))))</f>
        <v>-475501461.75331497</v>
      </c>
      <c r="F192" s="12" t="str">
        <f t="shared" si="13"/>
        <v>Retenção Completa</v>
      </c>
    </row>
    <row r="193" spans="2:6" hidden="1" x14ac:dyDescent="0.3">
      <c r="B193" s="12">
        <v>44751</v>
      </c>
      <c r="C193" s="5">
        <f>+SUMIF('Direitos Creditórios'!B:B,Resumo!B193,'Direitos Creditórios'!A:A)</f>
        <v>0</v>
      </c>
      <c r="D193" s="6"/>
      <c r="E193" s="9">
        <f>IF(B193&lt;'Pagamento Estimado'!$C$7-30,0,+IF((SUMIFS('Direitos Creditórios'!A:A,'Direitos Creditórios'!B:B,"&gt;="&amp;Resumo!B193,'Direitos Creditórios'!B:B,"&lt;="&amp;(WORKDAY('Pagamento Estimado'!$C$7,-30,Feriados!$A:$A))))&gt;'Pagamento Estimado'!$C$15,"Não Reter",('Pagamento Estimado'!$C$15-(SUMIFS('Direitos Creditórios'!A:A,'Direitos Creditórios'!B:B,"&lt;="&amp;Resumo!B193,'Direitos Creditórios'!B:B,"&gt;="&amp;(WORKDAY('Pagamento Estimado'!$C$7,-30,Feriados!$A:$A)))))))</f>
        <v>-475501461.75331497</v>
      </c>
      <c r="F193" s="12" t="str">
        <f t="shared" si="13"/>
        <v>Retenção Completa</v>
      </c>
    </row>
    <row r="194" spans="2:6" hidden="1" x14ac:dyDescent="0.3">
      <c r="B194" s="12">
        <v>44752</v>
      </c>
      <c r="C194" s="5">
        <f>+SUMIF('Direitos Creditórios'!B:B,Resumo!B194,'Direitos Creditórios'!A:A)</f>
        <v>0</v>
      </c>
      <c r="D194" s="6"/>
      <c r="E194" s="9">
        <f>IF(B194&lt;'Pagamento Estimado'!$C$7-30,0,+IF((SUMIFS('Direitos Creditórios'!A:A,'Direitos Creditórios'!B:B,"&gt;="&amp;Resumo!B194,'Direitos Creditórios'!B:B,"&lt;="&amp;(WORKDAY('Pagamento Estimado'!$C$7,-30,Feriados!$A:$A))))&gt;'Pagamento Estimado'!$C$15,"Não Reter",('Pagamento Estimado'!$C$15-(SUMIFS('Direitos Creditórios'!A:A,'Direitos Creditórios'!B:B,"&lt;="&amp;Resumo!B194,'Direitos Creditórios'!B:B,"&gt;="&amp;(WORKDAY('Pagamento Estimado'!$C$7,-30,Feriados!$A:$A)))))))</f>
        <v>-475501461.75331497</v>
      </c>
      <c r="F194" s="12" t="str">
        <f t="shared" si="13"/>
        <v>Retenção Completa</v>
      </c>
    </row>
    <row r="195" spans="2:6" hidden="1" x14ac:dyDescent="0.3">
      <c r="B195" s="12">
        <v>44753</v>
      </c>
      <c r="C195" s="5">
        <f>+SUMIF('Direitos Creditórios'!B:B,Resumo!B195,'Direitos Creditórios'!A:A)</f>
        <v>0</v>
      </c>
      <c r="D195" s="6"/>
      <c r="E195" s="9">
        <f>IF(B195&lt;'Pagamento Estimado'!$C$7-30,0,+IF((SUMIFS('Direitos Creditórios'!A:A,'Direitos Creditórios'!B:B,"&gt;="&amp;Resumo!B195,'Direitos Creditórios'!B:B,"&lt;="&amp;(WORKDAY('Pagamento Estimado'!$C$7,-30,Feriados!$A:$A))))&gt;'Pagamento Estimado'!$C$15,"Não Reter",('Pagamento Estimado'!$C$15-(SUMIFS('Direitos Creditórios'!A:A,'Direitos Creditórios'!B:B,"&lt;="&amp;Resumo!B195,'Direitos Creditórios'!B:B,"&gt;="&amp;(WORKDAY('Pagamento Estimado'!$C$7,-30,Feriados!$A:$A)))))))</f>
        <v>-475501461.75331497</v>
      </c>
      <c r="F195" s="12" t="str">
        <f t="shared" si="13"/>
        <v>Retenção Completa</v>
      </c>
    </row>
    <row r="196" spans="2:6" hidden="1" x14ac:dyDescent="0.3">
      <c r="B196" s="12">
        <v>44754</v>
      </c>
      <c r="C196" s="5">
        <f>+SUMIF('Direitos Creditórios'!B:B,Resumo!B196,'Direitos Creditórios'!A:A)</f>
        <v>0</v>
      </c>
      <c r="D196" s="6"/>
      <c r="E196" s="9">
        <f>IF(B196&lt;'Pagamento Estimado'!$C$7-30,0,+IF((SUMIFS('Direitos Creditórios'!A:A,'Direitos Creditórios'!B:B,"&gt;="&amp;Resumo!B196,'Direitos Creditórios'!B:B,"&lt;="&amp;(WORKDAY('Pagamento Estimado'!$C$7,-30,Feriados!$A:$A))))&gt;'Pagamento Estimado'!$C$15,"Não Reter",('Pagamento Estimado'!$C$15-(SUMIFS('Direitos Creditórios'!A:A,'Direitos Creditórios'!B:B,"&lt;="&amp;Resumo!B196,'Direitos Creditórios'!B:B,"&gt;="&amp;(WORKDAY('Pagamento Estimado'!$C$7,-30,Feriados!$A:$A)))))))</f>
        <v>-475501461.75331497</v>
      </c>
      <c r="F196" s="12" t="str">
        <f t="shared" si="13"/>
        <v>Retenção Completa</v>
      </c>
    </row>
    <row r="197" spans="2:6" hidden="1" x14ac:dyDescent="0.3">
      <c r="B197" s="12">
        <v>44755</v>
      </c>
      <c r="C197" s="5">
        <f>+SUMIF('Direitos Creditórios'!B:B,Resumo!B197,'Direitos Creditórios'!A:A)</f>
        <v>0</v>
      </c>
      <c r="D197" s="6"/>
      <c r="E197" s="9">
        <f>IF(B197&lt;'Pagamento Estimado'!$C$7-30,0,+IF((SUMIFS('Direitos Creditórios'!A:A,'Direitos Creditórios'!B:B,"&gt;="&amp;Resumo!B197,'Direitos Creditórios'!B:B,"&lt;="&amp;(WORKDAY('Pagamento Estimado'!$C$7,-30,Feriados!$A:$A))))&gt;'Pagamento Estimado'!$C$15,"Não Reter",('Pagamento Estimado'!$C$15-(SUMIFS('Direitos Creditórios'!A:A,'Direitos Creditórios'!B:B,"&lt;="&amp;Resumo!B197,'Direitos Creditórios'!B:B,"&gt;="&amp;(WORKDAY('Pagamento Estimado'!$C$7,-30,Feriados!$A:$A)))))))</f>
        <v>-475501461.75331497</v>
      </c>
      <c r="F197" s="12" t="str">
        <f t="shared" si="13"/>
        <v>Retenção Completa</v>
      </c>
    </row>
    <row r="198" spans="2:6" hidden="1" x14ac:dyDescent="0.3">
      <c r="B198" s="12">
        <v>44756</v>
      </c>
      <c r="C198" s="5">
        <f>+SUMIF('Direitos Creditórios'!B:B,Resumo!B198,'Direitos Creditórios'!A:A)</f>
        <v>0</v>
      </c>
      <c r="D198" s="6"/>
      <c r="E198" s="9">
        <f>IF(B198&lt;'Pagamento Estimado'!$C$7-30,0,+IF((SUMIFS('Direitos Creditórios'!A:A,'Direitos Creditórios'!B:B,"&gt;="&amp;Resumo!B198,'Direitos Creditórios'!B:B,"&lt;="&amp;(WORKDAY('Pagamento Estimado'!$C$7,-30,Feriados!$A:$A))))&gt;'Pagamento Estimado'!$C$15,"Não Reter",('Pagamento Estimado'!$C$15-(SUMIFS('Direitos Creditórios'!A:A,'Direitos Creditórios'!B:B,"&lt;="&amp;Resumo!B198,'Direitos Creditórios'!B:B,"&gt;="&amp;(WORKDAY('Pagamento Estimado'!$C$7,-30,Feriados!$A:$A)))))))</f>
        <v>-475501461.75331497</v>
      </c>
      <c r="F198" s="12" t="str">
        <f t="shared" si="13"/>
        <v>Retenção Completa</v>
      </c>
    </row>
    <row r="199" spans="2:6" hidden="1" x14ac:dyDescent="0.3">
      <c r="B199" s="12">
        <v>44757</v>
      </c>
      <c r="C199" s="5">
        <f>+SUMIF('Direitos Creditórios'!B:B,Resumo!B199,'Direitos Creditórios'!A:A)</f>
        <v>0</v>
      </c>
      <c r="D199" s="6"/>
      <c r="E199" s="9">
        <f>IF(B199&lt;'Pagamento Estimado'!$C$7-30,0,+IF((SUMIFS('Direitos Creditórios'!A:A,'Direitos Creditórios'!B:B,"&gt;="&amp;Resumo!B199,'Direitos Creditórios'!B:B,"&lt;="&amp;(WORKDAY('Pagamento Estimado'!$C$7,-30,Feriados!$A:$A))))&gt;'Pagamento Estimado'!$C$15,"Não Reter",('Pagamento Estimado'!$C$15-(SUMIFS('Direitos Creditórios'!A:A,'Direitos Creditórios'!B:B,"&lt;="&amp;Resumo!B199,'Direitos Creditórios'!B:B,"&gt;="&amp;(WORKDAY('Pagamento Estimado'!$C$7,-30,Feriados!$A:$A)))))))</f>
        <v>-475501461.75331497</v>
      </c>
      <c r="F199" s="12" t="str">
        <f t="shared" si="13"/>
        <v>Retenção Completa</v>
      </c>
    </row>
    <row r="200" spans="2:6" hidden="1" x14ac:dyDescent="0.3">
      <c r="B200" s="12">
        <v>44758</v>
      </c>
      <c r="C200" s="5">
        <f>+SUMIF('Direitos Creditórios'!B:B,Resumo!B200,'Direitos Creditórios'!A:A)</f>
        <v>0</v>
      </c>
      <c r="D200" s="6"/>
      <c r="E200" s="9">
        <f>IF(B200&lt;'Pagamento Estimado'!$C$7-30,0,+IF((SUMIFS('Direitos Creditórios'!A:A,'Direitos Creditórios'!B:B,"&gt;="&amp;Resumo!B200,'Direitos Creditórios'!B:B,"&lt;="&amp;(WORKDAY('Pagamento Estimado'!$C$7,-30,Feriados!$A:$A))))&gt;'Pagamento Estimado'!$C$15,"Não Reter",('Pagamento Estimado'!$C$15-(SUMIFS('Direitos Creditórios'!A:A,'Direitos Creditórios'!B:B,"&lt;="&amp;Resumo!B200,'Direitos Creditórios'!B:B,"&gt;="&amp;(WORKDAY('Pagamento Estimado'!$C$7,-30,Feriados!$A:$A)))))))</f>
        <v>-475501461.75331497</v>
      </c>
      <c r="F200" s="12" t="str">
        <f t="shared" si="13"/>
        <v>Retenção Completa</v>
      </c>
    </row>
    <row r="201" spans="2:6" hidden="1" x14ac:dyDescent="0.3">
      <c r="B201" s="12">
        <v>44759</v>
      </c>
      <c r="C201" s="5">
        <f>+SUMIF('Direitos Creditórios'!B:B,Resumo!B201,'Direitos Creditórios'!A:A)</f>
        <v>0</v>
      </c>
      <c r="D201" s="6"/>
      <c r="E201" s="9">
        <f>IF(B201&lt;'Pagamento Estimado'!$C$7-30,0,+IF((SUMIFS('Direitos Creditórios'!A:A,'Direitos Creditórios'!B:B,"&gt;="&amp;Resumo!B201,'Direitos Creditórios'!B:B,"&lt;="&amp;(WORKDAY('Pagamento Estimado'!$C$7,-30,Feriados!$A:$A))))&gt;'Pagamento Estimado'!$C$15,"Não Reter",('Pagamento Estimado'!$C$15-(SUMIFS('Direitos Creditórios'!A:A,'Direitos Creditórios'!B:B,"&lt;="&amp;Resumo!B201,'Direitos Creditórios'!B:B,"&gt;="&amp;(WORKDAY('Pagamento Estimado'!$C$7,-30,Feriados!$A:$A)))))))</f>
        <v>-475501461.75331497</v>
      </c>
      <c r="F201" s="12" t="str">
        <f t="shared" si="13"/>
        <v>Retenção Completa</v>
      </c>
    </row>
    <row r="202" spans="2:6" hidden="1" x14ac:dyDescent="0.3">
      <c r="B202" s="12">
        <v>44760</v>
      </c>
      <c r="C202" s="5">
        <f>+SUMIF('Direitos Creditórios'!B:B,Resumo!B202,'Direitos Creditórios'!A:A)</f>
        <v>0</v>
      </c>
      <c r="D202" s="6"/>
      <c r="E202" s="9">
        <f>IF(B202&lt;'Pagamento Estimado'!$C$7-30,0,+IF((SUMIFS('Direitos Creditórios'!A:A,'Direitos Creditórios'!B:B,"&gt;="&amp;Resumo!B202,'Direitos Creditórios'!B:B,"&lt;="&amp;(WORKDAY('Pagamento Estimado'!$C$7,-30,Feriados!$A:$A))))&gt;'Pagamento Estimado'!$C$15,"Não Reter",('Pagamento Estimado'!$C$15-(SUMIFS('Direitos Creditórios'!A:A,'Direitos Creditórios'!B:B,"&lt;="&amp;Resumo!B202,'Direitos Creditórios'!B:B,"&gt;="&amp;(WORKDAY('Pagamento Estimado'!$C$7,-30,Feriados!$A:$A)))))))</f>
        <v>-475501461.75331497</v>
      </c>
      <c r="F202" s="12" t="str">
        <f t="shared" si="13"/>
        <v>Retenção Completa</v>
      </c>
    </row>
    <row r="203" spans="2:6" hidden="1" x14ac:dyDescent="0.3">
      <c r="B203" s="12">
        <v>44761</v>
      </c>
      <c r="C203" s="5">
        <f>+SUMIF('Direitos Creditórios'!B:B,Resumo!B203,'Direitos Creditórios'!A:A)</f>
        <v>0</v>
      </c>
      <c r="D203" s="6"/>
      <c r="E203" s="9">
        <f>IF(B203&lt;'Pagamento Estimado'!$C$7-30,0,+IF((SUMIFS('Direitos Creditórios'!A:A,'Direitos Creditórios'!B:B,"&gt;="&amp;Resumo!B203,'Direitos Creditórios'!B:B,"&lt;="&amp;(WORKDAY('Pagamento Estimado'!$C$7,-30,Feriados!$A:$A))))&gt;'Pagamento Estimado'!$C$15,"Não Reter",('Pagamento Estimado'!$C$15-(SUMIFS('Direitos Creditórios'!A:A,'Direitos Creditórios'!B:B,"&lt;="&amp;Resumo!B203,'Direitos Creditórios'!B:B,"&gt;="&amp;(WORKDAY('Pagamento Estimado'!$C$7,-30,Feriados!$A:$A)))))))</f>
        <v>-475501461.75331497</v>
      </c>
      <c r="F203" s="12" t="str">
        <f t="shared" si="13"/>
        <v>Retenção Completa</v>
      </c>
    </row>
    <row r="204" spans="2:6" hidden="1" x14ac:dyDescent="0.3">
      <c r="B204" s="12">
        <v>44762</v>
      </c>
      <c r="C204" s="5">
        <f>+SUMIF('Direitos Creditórios'!B:B,Resumo!B204,'Direitos Creditórios'!A:A)</f>
        <v>0</v>
      </c>
      <c r="D204" s="6"/>
      <c r="E204" s="9">
        <f>IF(B204&lt;'Pagamento Estimado'!$C$7-30,0,+IF((SUMIFS('Direitos Creditórios'!A:A,'Direitos Creditórios'!B:B,"&gt;="&amp;Resumo!B204,'Direitos Creditórios'!B:B,"&lt;="&amp;(WORKDAY('Pagamento Estimado'!$C$7,-30,Feriados!$A:$A))))&gt;'Pagamento Estimado'!$C$15,"Não Reter",('Pagamento Estimado'!$C$15-(SUMIFS('Direitos Creditórios'!A:A,'Direitos Creditórios'!B:B,"&lt;="&amp;Resumo!B204,'Direitos Creditórios'!B:B,"&gt;="&amp;(WORKDAY('Pagamento Estimado'!$C$7,-30,Feriados!$A:$A)))))))</f>
        <v>-475501461.75331497</v>
      </c>
      <c r="F204" s="12" t="str">
        <f t="shared" si="13"/>
        <v>Retenção Completa</v>
      </c>
    </row>
    <row r="205" spans="2:6" hidden="1" x14ac:dyDescent="0.3">
      <c r="B205" s="12">
        <v>44763</v>
      </c>
      <c r="C205" s="5">
        <f>+SUMIF('Direitos Creditórios'!B:B,Resumo!B205,'Direitos Creditórios'!A:A)</f>
        <v>0</v>
      </c>
      <c r="D205" s="6"/>
      <c r="E205" s="9">
        <f>IF(B205&lt;'Pagamento Estimado'!$C$7-30,0,+IF((SUMIFS('Direitos Creditórios'!A:A,'Direitos Creditórios'!B:B,"&gt;="&amp;Resumo!B205,'Direitos Creditórios'!B:B,"&lt;="&amp;(WORKDAY('Pagamento Estimado'!$C$7,-30,Feriados!$A:$A))))&gt;'Pagamento Estimado'!$C$15,"Não Reter",('Pagamento Estimado'!$C$15-(SUMIFS('Direitos Creditórios'!A:A,'Direitos Creditórios'!B:B,"&lt;="&amp;Resumo!B205,'Direitos Creditórios'!B:B,"&gt;="&amp;(WORKDAY('Pagamento Estimado'!$C$7,-30,Feriados!$A:$A)))))))</f>
        <v>-475501461.75331497</v>
      </c>
      <c r="F205" s="12" t="str">
        <f t="shared" si="13"/>
        <v>Retenção Completa</v>
      </c>
    </row>
  </sheetData>
  <autoFilter ref="B31:D205" xr:uid="{00000000-0001-0000-0000-000000000000}">
    <filterColumn colId="1">
      <filters>
        <filter val="R$1.017.528,88"/>
        <filter val="R$1.443.065,61"/>
        <filter val="R$1.600.904,07"/>
        <filter val="R$11.631.358,31"/>
        <filter val="R$11.854.657,82"/>
        <filter val="R$112.203,56"/>
        <filter val="R$12.007.497,41"/>
        <filter val="R$12.240.583,34"/>
        <filter val="R$12.502.662,55"/>
        <filter val="R$12.844.397,71"/>
        <filter val="R$12.882.340,99"/>
        <filter val="R$126.690,46"/>
        <filter val="R$14.041.417,70"/>
        <filter val="R$15.765.887,38"/>
        <filter val="R$16.687,33"/>
        <filter val="R$16.907.665,75"/>
        <filter val="R$17.201.564,45"/>
        <filter val="R$17.272.469,80"/>
        <filter val="R$17.334.686,06"/>
        <filter val="R$17.432.423,49"/>
        <filter val="R$17.508.723,58"/>
        <filter val="R$177.858,79"/>
        <filter val="R$19.337.248,26"/>
        <filter val="R$2.085.644,95"/>
        <filter val="R$2.127.647,63"/>
        <filter val="R$2.480.591,71"/>
        <filter val="R$2.899.707,75"/>
        <filter val="R$24.328.870,24"/>
        <filter val="R$24.785,69"/>
        <filter val="R$3.082.486,50"/>
        <filter val="R$3.310.964,65"/>
        <filter val="R$3.685.452,30"/>
        <filter val="R$3.823.925,34"/>
        <filter val="R$30.397.434,67"/>
        <filter val="R$30.870.817,86"/>
        <filter val="R$311.813,97"/>
        <filter val="R$32.711.514,52"/>
        <filter val="R$4.120.478,62"/>
        <filter val="R$4.312.090,04"/>
        <filter val="R$40.030.941,15"/>
        <filter val="R$41.606.327,82"/>
        <filter val="R$46.627.152,57"/>
        <filter val="R$48.141,73"/>
        <filter val="R$5.256.782,08"/>
        <filter val="R$50.550.860,52"/>
        <filter val="R$52.678.460,40"/>
        <filter val="R$55.992,13"/>
        <filter val="R$57.705,04"/>
        <filter val="R$6.181.383,42"/>
        <filter val="R$6.888.953,79"/>
        <filter val="R$60.082,64"/>
        <filter val="R$61.360.929,22"/>
        <filter val="R$62.933,64"/>
        <filter val="R$656.343,49"/>
        <filter val="R$668.648,86"/>
        <filter val="R$8.622.812,71"/>
        <filter val="R$8.734.226,25"/>
        <filter val="R$8.801.841,73"/>
        <filter val="R$876.661,51"/>
        <filter val="R$878.426,86"/>
        <filter val="R$9.249.098,10"/>
      </filters>
    </filterColumn>
  </autoFilter>
  <conditionalFormatting sqref="E32:E205">
    <cfRule type="cellIs" dxfId="0" priority="2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</sheetPr>
  <dimension ref="A1:D464"/>
  <sheetViews>
    <sheetView zoomScaleNormal="100" workbookViewId="0">
      <selection activeCell="H23" sqref="H23"/>
    </sheetView>
  </sheetViews>
  <sheetFormatPr defaultRowHeight="14.4" x14ac:dyDescent="0.3"/>
  <cols>
    <col min="1" max="1" width="16.33203125" style="30" bestFit="1" customWidth="1"/>
    <col min="2" max="2" width="23.6640625" style="20" bestFit="1" customWidth="1"/>
    <col min="3" max="3" width="17.5546875" bestFit="1" customWidth="1"/>
    <col min="4" max="4" width="17.33203125" bestFit="1" customWidth="1"/>
  </cols>
  <sheetData>
    <row r="1" spans="1:4" x14ac:dyDescent="0.3">
      <c r="A1" s="31" t="s">
        <v>2</v>
      </c>
      <c r="B1" s="32" t="s">
        <v>18</v>
      </c>
    </row>
    <row r="2" spans="1:4" x14ac:dyDescent="0.3">
      <c r="A2" s="33">
        <v>204179.11</v>
      </c>
      <c r="B2" s="37">
        <v>44561</v>
      </c>
      <c r="C2" s="35"/>
      <c r="D2" s="34"/>
    </row>
    <row r="3" spans="1:4" x14ac:dyDescent="0.3">
      <c r="A3" s="33">
        <v>13932658.75</v>
      </c>
      <c r="B3" s="37">
        <v>44561</v>
      </c>
      <c r="D3" s="35"/>
    </row>
    <row r="4" spans="1:4" x14ac:dyDescent="0.3">
      <c r="A4" s="33">
        <v>634023.54</v>
      </c>
      <c r="B4" s="37">
        <v>44561</v>
      </c>
    </row>
    <row r="5" spans="1:4" x14ac:dyDescent="0.3">
      <c r="A5" s="33">
        <v>1235100.6299999999</v>
      </c>
      <c r="B5" s="37">
        <v>44561</v>
      </c>
    </row>
    <row r="6" spans="1:4" x14ac:dyDescent="0.3">
      <c r="A6" s="33">
        <v>6290998.8399999999</v>
      </c>
      <c r="B6" s="37">
        <v>44561</v>
      </c>
    </row>
    <row r="7" spans="1:4" x14ac:dyDescent="0.3">
      <c r="A7" s="33">
        <v>831863.23</v>
      </c>
      <c r="B7" s="37">
        <v>44561</v>
      </c>
    </row>
    <row r="8" spans="1:4" x14ac:dyDescent="0.3">
      <c r="A8" s="33">
        <v>2414019.8948212466</v>
      </c>
      <c r="B8" s="37">
        <v>44564</v>
      </c>
    </row>
    <row r="9" spans="1:4" x14ac:dyDescent="0.3">
      <c r="A9" s="33">
        <v>8506926.1949639693</v>
      </c>
      <c r="B9" s="37">
        <v>44564</v>
      </c>
    </row>
    <row r="10" spans="1:4" x14ac:dyDescent="0.3">
      <c r="A10" s="33">
        <v>6587777.4942436302</v>
      </c>
      <c r="B10" s="37">
        <v>44564</v>
      </c>
    </row>
    <row r="11" spans="1:4" x14ac:dyDescent="0.3">
      <c r="A11" s="33">
        <v>2583385.9260443486</v>
      </c>
      <c r="B11" s="37">
        <v>44565</v>
      </c>
    </row>
    <row r="12" spans="1:4" x14ac:dyDescent="0.3">
      <c r="A12" s="33">
        <v>1240539.4180669531</v>
      </c>
      <c r="B12" s="37">
        <v>44565</v>
      </c>
    </row>
    <row r="13" spans="1:4" x14ac:dyDescent="0.3">
      <c r="A13" s="33">
        <v>14793151.108493177</v>
      </c>
      <c r="B13" s="37">
        <v>44567</v>
      </c>
    </row>
    <row r="14" spans="1:4" x14ac:dyDescent="0.3">
      <c r="A14" s="33">
        <v>434446.25964095502</v>
      </c>
      <c r="B14" s="37">
        <v>44567</v>
      </c>
    </row>
    <row r="15" spans="1:4" x14ac:dyDescent="0.3">
      <c r="A15" s="33">
        <v>5243197.8974592239</v>
      </c>
      <c r="B15" s="37">
        <v>44567</v>
      </c>
    </row>
    <row r="16" spans="1:4" x14ac:dyDescent="0.3">
      <c r="A16" s="33">
        <v>120990.50465447042</v>
      </c>
      <c r="B16" s="37">
        <v>44568</v>
      </c>
    </row>
    <row r="17" spans="1:2" x14ac:dyDescent="0.3">
      <c r="A17" s="33">
        <v>97874.371974763941</v>
      </c>
      <c r="B17" s="37">
        <v>44568</v>
      </c>
    </row>
    <row r="18" spans="1:2" x14ac:dyDescent="0.3">
      <c r="A18" s="33">
        <v>16055.960889165066</v>
      </c>
      <c r="B18" s="37">
        <v>44567</v>
      </c>
    </row>
    <row r="19" spans="1:2" x14ac:dyDescent="0.3">
      <c r="A19" s="33">
        <v>863427.976701329</v>
      </c>
      <c r="B19" s="37">
        <v>44567</v>
      </c>
    </row>
    <row r="20" spans="1:2" x14ac:dyDescent="0.3">
      <c r="A20" s="33">
        <v>17566090.32947471</v>
      </c>
      <c r="B20" s="37">
        <v>44568</v>
      </c>
    </row>
    <row r="21" spans="1:2" x14ac:dyDescent="0.3">
      <c r="A21" s="33">
        <v>714363.40434316138</v>
      </c>
      <c r="B21" s="37">
        <v>44568</v>
      </c>
    </row>
    <row r="22" spans="1:2" x14ac:dyDescent="0.3">
      <c r="A22" s="33">
        <v>1280033.8622701026</v>
      </c>
      <c r="B22" s="37">
        <v>44568</v>
      </c>
    </row>
    <row r="23" spans="1:2" x14ac:dyDescent="0.3">
      <c r="A23" s="33">
        <v>8560716.5772422329</v>
      </c>
      <c r="B23" s="37">
        <v>44568</v>
      </c>
    </row>
    <row r="24" spans="1:2" x14ac:dyDescent="0.3">
      <c r="A24" s="33">
        <v>995408.92316927051</v>
      </c>
      <c r="B24" s="37">
        <v>44568</v>
      </c>
    </row>
    <row r="25" spans="1:2" x14ac:dyDescent="0.3">
      <c r="A25" s="33">
        <v>27987643.950896412</v>
      </c>
      <c r="B25" s="37">
        <v>44571</v>
      </c>
    </row>
    <row r="26" spans="1:2" x14ac:dyDescent="0.3">
      <c r="A26" s="33">
        <v>1270142.2010933412</v>
      </c>
      <c r="B26" s="37">
        <v>44571</v>
      </c>
    </row>
    <row r="27" spans="1:2" x14ac:dyDescent="0.3">
      <c r="A27" s="33">
        <v>2518456.459383761</v>
      </c>
      <c r="B27" s="37">
        <v>44571</v>
      </c>
    </row>
    <row r="28" spans="1:2" x14ac:dyDescent="0.3">
      <c r="A28" s="33">
        <v>14045110.128748164</v>
      </c>
      <c r="B28" s="37">
        <v>44571</v>
      </c>
    </row>
    <row r="29" spans="1:2" x14ac:dyDescent="0.3">
      <c r="A29" s="33">
        <v>1875543.6967138171</v>
      </c>
      <c r="B29" s="37">
        <v>44571</v>
      </c>
    </row>
    <row r="30" spans="1:2" x14ac:dyDescent="0.3">
      <c r="A30" s="33">
        <v>5138117.1643369542</v>
      </c>
      <c r="B30" s="37">
        <v>44572</v>
      </c>
    </row>
    <row r="31" spans="1:2" x14ac:dyDescent="0.3">
      <c r="A31" s="33">
        <v>198314.58804770696</v>
      </c>
      <c r="B31" s="37">
        <v>44572</v>
      </c>
    </row>
    <row r="32" spans="1:2" x14ac:dyDescent="0.3">
      <c r="A32" s="33">
        <v>390483.22099534282</v>
      </c>
      <c r="B32" s="37">
        <v>44572</v>
      </c>
    </row>
    <row r="33" spans="1:2" x14ac:dyDescent="0.3">
      <c r="A33" s="33">
        <v>2482108.480209752</v>
      </c>
      <c r="B33" s="37">
        <v>44572</v>
      </c>
    </row>
    <row r="34" spans="1:2" x14ac:dyDescent="0.3">
      <c r="A34" s="33">
        <v>277358.74527347821</v>
      </c>
      <c r="B34" s="37">
        <v>44572</v>
      </c>
    </row>
    <row r="35" spans="1:2" x14ac:dyDescent="0.3">
      <c r="A35" s="33">
        <v>1061956.6951500736</v>
      </c>
      <c r="B35" s="37">
        <v>44568</v>
      </c>
    </row>
    <row r="36" spans="1:2" x14ac:dyDescent="0.3">
      <c r="A36" s="33">
        <v>2853964.0801199474</v>
      </c>
      <c r="B36" s="37">
        <v>44571</v>
      </c>
    </row>
    <row r="37" spans="1:2" x14ac:dyDescent="0.3">
      <c r="A37" s="33">
        <v>315459.52954833716</v>
      </c>
      <c r="B37" s="37">
        <v>44572</v>
      </c>
    </row>
    <row r="38" spans="1:2" x14ac:dyDescent="0.3">
      <c r="A38" s="33">
        <v>2407432.9908654862</v>
      </c>
      <c r="B38" s="37">
        <v>44573</v>
      </c>
    </row>
    <row r="39" spans="1:2" x14ac:dyDescent="0.3">
      <c r="A39" s="33">
        <v>3492596.3986856644</v>
      </c>
      <c r="B39" s="37">
        <v>44573</v>
      </c>
    </row>
    <row r="40" spans="1:2" x14ac:dyDescent="0.3">
      <c r="A40" s="33">
        <v>1963597.3619751474</v>
      </c>
      <c r="B40" s="37">
        <v>44573</v>
      </c>
    </row>
    <row r="41" spans="1:2" x14ac:dyDescent="0.3">
      <c r="A41" s="33">
        <v>481896.33567400737</v>
      </c>
      <c r="B41" s="37">
        <v>44573</v>
      </c>
    </row>
    <row r="42" spans="1:2" x14ac:dyDescent="0.3">
      <c r="A42" s="33">
        <v>1390221.5569145035</v>
      </c>
      <c r="B42" s="37">
        <v>44592</v>
      </c>
    </row>
    <row r="43" spans="1:2" x14ac:dyDescent="0.3">
      <c r="A43" s="33">
        <v>12651196.138380157</v>
      </c>
      <c r="B43" s="37">
        <v>44592</v>
      </c>
    </row>
    <row r="44" spans="1:2" x14ac:dyDescent="0.3">
      <c r="A44" s="33">
        <v>6002924.5698496988</v>
      </c>
      <c r="B44" s="37">
        <v>44593</v>
      </c>
    </row>
    <row r="45" spans="1:2" x14ac:dyDescent="0.3">
      <c r="A45" s="33">
        <v>178458.84786147194</v>
      </c>
      <c r="B45" s="37">
        <v>44593</v>
      </c>
    </row>
    <row r="46" spans="1:2" x14ac:dyDescent="0.3">
      <c r="A46" s="33">
        <v>57705.041669712322</v>
      </c>
      <c r="B46" s="37">
        <v>44594</v>
      </c>
    </row>
    <row r="47" spans="1:2" x14ac:dyDescent="0.3">
      <c r="A47" s="33">
        <v>5014585.0253880043</v>
      </c>
      <c r="B47" s="37">
        <v>44616</v>
      </c>
    </row>
    <row r="48" spans="1:2" x14ac:dyDescent="0.3">
      <c r="A48" s="33">
        <v>30252.883968815499</v>
      </c>
      <c r="B48" s="37">
        <v>44616</v>
      </c>
    </row>
    <row r="49" spans="1:2" x14ac:dyDescent="0.3">
      <c r="A49" s="33">
        <v>4192735.9957190035</v>
      </c>
      <c r="B49" s="37">
        <v>44617</v>
      </c>
    </row>
    <row r="50" spans="1:2" x14ac:dyDescent="0.3">
      <c r="A50" s="33">
        <v>5553504.2208404867</v>
      </c>
      <c r="B50" s="37">
        <v>44617</v>
      </c>
    </row>
    <row r="51" spans="1:2" x14ac:dyDescent="0.3">
      <c r="A51" s="33">
        <v>2392437.7542640124</v>
      </c>
      <c r="B51" s="37">
        <v>44617</v>
      </c>
    </row>
    <row r="52" spans="1:2" x14ac:dyDescent="0.3">
      <c r="A52" s="33">
        <v>575240.83770871756</v>
      </c>
      <c r="B52" s="37">
        <v>44617</v>
      </c>
    </row>
    <row r="53" spans="1:2" x14ac:dyDescent="0.3">
      <c r="A53" s="33">
        <v>12921739.892075812</v>
      </c>
      <c r="B53" s="37">
        <v>44614</v>
      </c>
    </row>
    <row r="54" spans="1:2" x14ac:dyDescent="0.3">
      <c r="A54" s="33">
        <v>647185.4395861387</v>
      </c>
      <c r="B54" s="37">
        <v>44614</v>
      </c>
    </row>
    <row r="55" spans="1:2" x14ac:dyDescent="0.3">
      <c r="A55" s="33">
        <v>16943709.830951802</v>
      </c>
      <c r="B55" s="37">
        <v>44615</v>
      </c>
    </row>
    <row r="56" spans="1:2" x14ac:dyDescent="0.3">
      <c r="A56" s="33">
        <v>757581.90587915247</v>
      </c>
      <c r="B56" s="37">
        <v>44615</v>
      </c>
    </row>
    <row r="57" spans="1:2" x14ac:dyDescent="0.3">
      <c r="A57" s="33">
        <v>1339407.2567946343</v>
      </c>
      <c r="B57" s="37">
        <v>44615</v>
      </c>
    </row>
    <row r="58" spans="1:2" x14ac:dyDescent="0.3">
      <c r="A58" s="33">
        <v>7123935.430958054</v>
      </c>
      <c r="B58" s="37">
        <v>44615</v>
      </c>
    </row>
    <row r="59" spans="1:2" x14ac:dyDescent="0.3">
      <c r="A59" s="33">
        <v>890796.49030886265</v>
      </c>
      <c r="B59" s="37">
        <v>44615</v>
      </c>
    </row>
    <row r="60" spans="1:2" x14ac:dyDescent="0.3">
      <c r="A60" s="33">
        <v>2363458.0515556401</v>
      </c>
      <c r="B60" s="37">
        <v>44616</v>
      </c>
    </row>
    <row r="61" spans="1:2" x14ac:dyDescent="0.3">
      <c r="A61" s="33">
        <v>641846.94345036556</v>
      </c>
      <c r="B61" s="37">
        <v>44616</v>
      </c>
    </row>
    <row r="62" spans="1:2" x14ac:dyDescent="0.3">
      <c r="A62" s="33">
        <v>1243937.4631355831</v>
      </c>
      <c r="B62" s="37">
        <v>44616</v>
      </c>
    </row>
    <row r="63" spans="1:2" x14ac:dyDescent="0.3">
      <c r="A63" s="33">
        <v>6668976.145500185</v>
      </c>
      <c r="B63" s="37">
        <v>44616</v>
      </c>
    </row>
    <row r="64" spans="1:2" x14ac:dyDescent="0.3">
      <c r="A64" s="33">
        <v>774350.78129408893</v>
      </c>
      <c r="B64" s="37">
        <v>44616</v>
      </c>
    </row>
    <row r="65" spans="1:2" x14ac:dyDescent="0.3">
      <c r="A65" s="33">
        <v>24534.797885388529</v>
      </c>
      <c r="B65" s="37">
        <v>44617</v>
      </c>
    </row>
    <row r="66" spans="1:2" x14ac:dyDescent="0.3">
      <c r="A66" s="33">
        <v>15256014.350103574</v>
      </c>
      <c r="B66" s="37">
        <v>44622</v>
      </c>
    </row>
    <row r="67" spans="1:2" x14ac:dyDescent="0.3">
      <c r="A67" s="33">
        <v>30007139.067885611</v>
      </c>
      <c r="B67" s="37">
        <v>44622</v>
      </c>
    </row>
    <row r="68" spans="1:2" x14ac:dyDescent="0.3">
      <c r="A68" s="33">
        <v>210330.96853654989</v>
      </c>
      <c r="B68" s="37">
        <v>44622</v>
      </c>
    </row>
    <row r="69" spans="1:2" x14ac:dyDescent="0.3">
      <c r="A69" s="33">
        <v>538291.35322290345</v>
      </c>
      <c r="B69" s="37">
        <v>44623</v>
      </c>
    </row>
    <row r="70" spans="1:2" x14ac:dyDescent="0.3">
      <c r="A70" s="33">
        <v>6360571.7467958061</v>
      </c>
      <c r="B70" s="37">
        <v>44623</v>
      </c>
    </row>
    <row r="71" spans="1:2" x14ac:dyDescent="0.3">
      <c r="A71" s="33">
        <v>6628218.6623945376</v>
      </c>
      <c r="B71" s="37">
        <v>44613</v>
      </c>
    </row>
    <row r="72" spans="1:2" x14ac:dyDescent="0.3">
      <c r="A72" s="33">
        <v>216230.4675341807</v>
      </c>
      <c r="B72" s="37">
        <v>44613</v>
      </c>
    </row>
    <row r="73" spans="1:2" x14ac:dyDescent="0.3">
      <c r="A73" s="33">
        <v>2735599.5533382799</v>
      </c>
      <c r="B73" s="37">
        <v>44614</v>
      </c>
    </row>
    <row r="74" spans="1:2" x14ac:dyDescent="0.3">
      <c r="A74" s="33">
        <v>45638.650461224956</v>
      </c>
      <c r="B74" s="37">
        <v>44614</v>
      </c>
    </row>
    <row r="75" spans="1:2" x14ac:dyDescent="0.3">
      <c r="A75" s="33">
        <v>1228478.9997359428</v>
      </c>
      <c r="B75" s="37">
        <v>44614</v>
      </c>
    </row>
    <row r="76" spans="1:2" x14ac:dyDescent="0.3">
      <c r="A76" s="33">
        <v>6449328.451089886</v>
      </c>
      <c r="B76" s="37">
        <v>44614</v>
      </c>
    </row>
    <row r="77" spans="1:2" x14ac:dyDescent="0.3">
      <c r="A77" s="33">
        <v>793577.1419661945</v>
      </c>
      <c r="B77" s="37">
        <v>44614</v>
      </c>
    </row>
    <row r="78" spans="1:2" x14ac:dyDescent="0.3">
      <c r="A78" s="33">
        <v>2540785.8271359727</v>
      </c>
      <c r="B78" s="37">
        <v>44622</v>
      </c>
    </row>
    <row r="79" spans="1:2" x14ac:dyDescent="0.3">
      <c r="A79" s="33">
        <v>3708704.3654276524</v>
      </c>
      <c r="B79" s="37">
        <v>44622</v>
      </c>
    </row>
    <row r="80" spans="1:2" x14ac:dyDescent="0.3">
      <c r="A80" s="33">
        <v>681724.23975287983</v>
      </c>
      <c r="B80" s="37">
        <v>44623</v>
      </c>
    </row>
    <row r="81" spans="1:2" x14ac:dyDescent="0.3">
      <c r="A81" s="33">
        <v>1144932.7410103744</v>
      </c>
      <c r="B81" s="37">
        <v>44624</v>
      </c>
    </row>
    <row r="82" spans="1:2" x14ac:dyDescent="0.3">
      <c r="A82" s="33">
        <v>33530.796737209581</v>
      </c>
      <c r="B82" s="37">
        <v>44624</v>
      </c>
    </row>
    <row r="83" spans="1:2" x14ac:dyDescent="0.3">
      <c r="A83" s="33">
        <v>103788.7000374295</v>
      </c>
      <c r="B83" s="37">
        <v>44624</v>
      </c>
    </row>
    <row r="84" spans="1:2" x14ac:dyDescent="0.3">
      <c r="A84" s="33">
        <v>496396.94299137074</v>
      </c>
      <c r="B84" s="37">
        <v>44624</v>
      </c>
    </row>
    <row r="85" spans="1:2" x14ac:dyDescent="0.3">
      <c r="A85" s="33">
        <v>48540.064240597392</v>
      </c>
      <c r="B85" s="37">
        <v>44624</v>
      </c>
    </row>
    <row r="86" spans="1:2" x14ac:dyDescent="0.3">
      <c r="A86" s="33">
        <v>152509.05566814204</v>
      </c>
      <c r="B86" s="37">
        <v>44634</v>
      </c>
    </row>
    <row r="87" spans="1:2" x14ac:dyDescent="0.3">
      <c r="A87" s="33">
        <v>5264973.8508052407</v>
      </c>
      <c r="B87" s="37">
        <v>44635</v>
      </c>
    </row>
    <row r="88" spans="1:2" x14ac:dyDescent="0.3">
      <c r="A88" s="33">
        <v>6616780.4244096316</v>
      </c>
      <c r="B88" s="37">
        <v>44635</v>
      </c>
    </row>
    <row r="89" spans="1:2" x14ac:dyDescent="0.3">
      <c r="A89" s="33">
        <v>3105740.2855959227</v>
      </c>
      <c r="B89" s="37">
        <v>44635</v>
      </c>
    </row>
    <row r="90" spans="1:2" x14ac:dyDescent="0.3">
      <c r="A90" s="33">
        <v>778392.82382813329</v>
      </c>
      <c r="B90" s="37">
        <v>44635</v>
      </c>
    </row>
    <row r="91" spans="1:2" x14ac:dyDescent="0.3">
      <c r="A91" s="33">
        <v>16687.329363599427</v>
      </c>
      <c r="B91" s="37">
        <v>44638</v>
      </c>
    </row>
    <row r="92" spans="1:2" x14ac:dyDescent="0.3">
      <c r="A92" s="33">
        <v>39762691.871293344</v>
      </c>
      <c r="B92" s="37">
        <v>44641</v>
      </c>
    </row>
    <row r="93" spans="1:2" x14ac:dyDescent="0.3">
      <c r="A93" s="33">
        <v>10832551.420577094</v>
      </c>
      <c r="B93" s="37">
        <v>44642</v>
      </c>
    </row>
    <row r="94" spans="1:2" x14ac:dyDescent="0.3">
      <c r="A94" s="33">
        <v>469239.67118710605</v>
      </c>
      <c r="B94" s="37">
        <v>44642</v>
      </c>
    </row>
    <row r="95" spans="1:2" x14ac:dyDescent="0.3">
      <c r="A95" s="33">
        <v>763110.75066668598</v>
      </c>
      <c r="B95" s="37">
        <v>44642</v>
      </c>
    </row>
    <row r="96" spans="1:2" x14ac:dyDescent="0.3">
      <c r="A96" s="33">
        <v>4675961.1779039828</v>
      </c>
      <c r="B96" s="37">
        <v>44642</v>
      </c>
    </row>
    <row r="97" spans="1:2" x14ac:dyDescent="0.3">
      <c r="A97" s="33">
        <v>531606.77876025357</v>
      </c>
      <c r="B97" s="37">
        <v>44642</v>
      </c>
    </row>
    <row r="98" spans="1:2" x14ac:dyDescent="0.3">
      <c r="A98" s="33">
        <v>12272230.207174703</v>
      </c>
      <c r="B98" s="37">
        <v>44643</v>
      </c>
    </row>
    <row r="99" spans="1:2" x14ac:dyDescent="0.3">
      <c r="A99" s="33">
        <v>512650.72006814182</v>
      </c>
      <c r="B99" s="37">
        <v>44643</v>
      </c>
    </row>
    <row r="100" spans="1:2" x14ac:dyDescent="0.3">
      <c r="A100" s="33">
        <v>926307.86441220285</v>
      </c>
      <c r="B100" s="37">
        <v>44643</v>
      </c>
    </row>
    <row r="101" spans="1:2" x14ac:dyDescent="0.3">
      <c r="A101" s="33">
        <v>5055916.5064293891</v>
      </c>
      <c r="B101" s="37">
        <v>44643</v>
      </c>
    </row>
    <row r="102" spans="1:2" x14ac:dyDescent="0.3">
      <c r="A102" s="33">
        <v>570142.96211110533</v>
      </c>
      <c r="B102" s="37">
        <v>44643</v>
      </c>
    </row>
    <row r="103" spans="1:2" x14ac:dyDescent="0.3">
      <c r="A103" s="33">
        <v>4621053.1472290168</v>
      </c>
      <c r="B103" s="37">
        <v>44644</v>
      </c>
    </row>
    <row r="104" spans="1:2" x14ac:dyDescent="0.3">
      <c r="A104" s="33">
        <v>500463.51402692299</v>
      </c>
      <c r="B104" s="37">
        <v>44644</v>
      </c>
    </row>
    <row r="105" spans="1:2" x14ac:dyDescent="0.3">
      <c r="A105" s="33">
        <v>932294.68264906958</v>
      </c>
      <c r="B105" s="37">
        <v>44644</v>
      </c>
    </row>
    <row r="106" spans="1:2" x14ac:dyDescent="0.3">
      <c r="A106" s="33">
        <v>5203425.185355885</v>
      </c>
      <c r="B106" s="37">
        <v>44644</v>
      </c>
    </row>
    <row r="107" spans="1:2" x14ac:dyDescent="0.3">
      <c r="A107" s="33">
        <v>597421.28645173321</v>
      </c>
      <c r="B107" s="37">
        <v>44644</v>
      </c>
    </row>
    <row r="108" spans="1:2" x14ac:dyDescent="0.3">
      <c r="A108" s="33">
        <v>668648.85891530383</v>
      </c>
      <c r="B108" s="37">
        <v>44645</v>
      </c>
    </row>
    <row r="109" spans="1:2" x14ac:dyDescent="0.3">
      <c r="A109" s="33">
        <v>2691164.8460256625</v>
      </c>
      <c r="B109" s="37">
        <v>44634</v>
      </c>
    </row>
    <row r="110" spans="1:2" x14ac:dyDescent="0.3">
      <c r="A110" s="33">
        <v>56033.848274444295</v>
      </c>
      <c r="B110" s="37">
        <v>44634</v>
      </c>
    </row>
    <row r="111" spans="1:2" x14ac:dyDescent="0.3">
      <c r="A111" s="33">
        <v>245477.45950036953</v>
      </c>
      <c r="B111" s="37">
        <v>44628</v>
      </c>
    </row>
    <row r="112" spans="1:2" x14ac:dyDescent="0.3">
      <c r="A112" s="33">
        <v>6551528.0241712043</v>
      </c>
      <c r="B112" s="37">
        <v>44628</v>
      </c>
    </row>
    <row r="113" spans="1:2" x14ac:dyDescent="0.3">
      <c r="A113" s="33">
        <v>5855910.3809526712</v>
      </c>
      <c r="B113" s="37">
        <v>44629</v>
      </c>
    </row>
    <row r="114" spans="1:2" x14ac:dyDescent="0.3">
      <c r="A114" s="33">
        <v>6545620.2354847724</v>
      </c>
      <c r="B114" s="37">
        <v>44629</v>
      </c>
    </row>
    <row r="115" spans="1:2" x14ac:dyDescent="0.3">
      <c r="A115" s="33">
        <v>3731267.1638566209</v>
      </c>
      <c r="B115" s="37">
        <v>44629</v>
      </c>
    </row>
    <row r="116" spans="1:2" x14ac:dyDescent="0.3">
      <c r="A116" s="33">
        <v>774867.9722572891</v>
      </c>
      <c r="B116" s="37">
        <v>44629</v>
      </c>
    </row>
    <row r="117" spans="1:2" x14ac:dyDescent="0.3">
      <c r="A117" s="33">
        <v>809485.14196578879</v>
      </c>
      <c r="B117" s="37">
        <v>44630</v>
      </c>
    </row>
    <row r="118" spans="1:2" x14ac:dyDescent="0.3">
      <c r="A118" s="33">
        <v>791418.92613797099</v>
      </c>
      <c r="B118" s="37">
        <v>44630</v>
      </c>
    </row>
    <row r="119" spans="1:2" x14ac:dyDescent="0.3">
      <c r="A119" s="33">
        <v>1833656.5486593137</v>
      </c>
      <c r="B119" s="37">
        <v>44652</v>
      </c>
    </row>
    <row r="120" spans="1:2" x14ac:dyDescent="0.3">
      <c r="A120" s="33">
        <v>24161.927403812497</v>
      </c>
      <c r="B120" s="37">
        <v>44652</v>
      </c>
    </row>
    <row r="121" spans="1:2" x14ac:dyDescent="0.3">
      <c r="A121" s="33">
        <v>2801018.8744799853</v>
      </c>
      <c r="B121" s="37">
        <v>44651</v>
      </c>
    </row>
    <row r="122" spans="1:2" x14ac:dyDescent="0.3">
      <c r="A122" s="33">
        <v>128998.34148495756</v>
      </c>
      <c r="B122" s="37">
        <v>44651</v>
      </c>
    </row>
    <row r="123" spans="1:2" x14ac:dyDescent="0.3">
      <c r="A123" s="33">
        <v>72085.529135112083</v>
      </c>
      <c r="B123" s="37">
        <v>44617</v>
      </c>
    </row>
    <row r="124" spans="1:2" x14ac:dyDescent="0.3">
      <c r="A124" s="33">
        <v>493545.72894415009</v>
      </c>
      <c r="B124" s="37">
        <v>44622</v>
      </c>
    </row>
    <row r="125" spans="1:2" x14ac:dyDescent="0.3">
      <c r="A125" s="33">
        <v>7601160.7178704403</v>
      </c>
      <c r="B125" s="37">
        <v>44627</v>
      </c>
    </row>
    <row r="126" spans="1:2" x14ac:dyDescent="0.3">
      <c r="A126" s="33">
        <v>1824811.0079838322</v>
      </c>
      <c r="B126" s="37">
        <v>44623</v>
      </c>
    </row>
    <row r="127" spans="1:2" x14ac:dyDescent="0.3">
      <c r="A127" s="33">
        <v>2764619.0989939906</v>
      </c>
      <c r="B127" s="37">
        <v>44623</v>
      </c>
    </row>
    <row r="128" spans="1:2" x14ac:dyDescent="0.3">
      <c r="A128" s="33">
        <v>9204606.4365910664</v>
      </c>
      <c r="B128" s="37">
        <v>44627</v>
      </c>
    </row>
    <row r="129" spans="1:2" x14ac:dyDescent="0.3">
      <c r="A129" s="33">
        <v>3700128.0306369588</v>
      </c>
      <c r="B129" s="37">
        <v>44648</v>
      </c>
    </row>
    <row r="130" spans="1:2" x14ac:dyDescent="0.3">
      <c r="A130" s="33">
        <v>611962.01188314159</v>
      </c>
      <c r="B130" s="37">
        <v>44648</v>
      </c>
    </row>
    <row r="131" spans="1:2" x14ac:dyDescent="0.3">
      <c r="A131" s="33">
        <v>1443065.6058863334</v>
      </c>
      <c r="B131" s="37">
        <v>44595</v>
      </c>
    </row>
    <row r="132" spans="1:2" x14ac:dyDescent="0.3">
      <c r="A132" s="33">
        <v>509592.65430823358</v>
      </c>
      <c r="B132" s="37">
        <v>44596</v>
      </c>
    </row>
    <row r="133" spans="1:2" x14ac:dyDescent="0.3">
      <c r="A133" s="33">
        <v>146750.83602605178</v>
      </c>
      <c r="B133" s="37">
        <v>44596</v>
      </c>
    </row>
    <row r="134" spans="1:2" x14ac:dyDescent="0.3">
      <c r="A134" s="33">
        <v>168052.60853040969</v>
      </c>
      <c r="B134" s="37">
        <v>44599</v>
      </c>
    </row>
    <row r="135" spans="1:2" x14ac:dyDescent="0.3">
      <c r="A135" s="33">
        <v>143761.3595550262</v>
      </c>
      <c r="B135" s="37">
        <v>44599</v>
      </c>
    </row>
    <row r="136" spans="1:2" x14ac:dyDescent="0.3">
      <c r="A136" s="33">
        <v>112203.55725410288</v>
      </c>
      <c r="B136" s="37">
        <v>44600</v>
      </c>
    </row>
    <row r="137" spans="1:2" x14ac:dyDescent="0.3">
      <c r="A137" s="33">
        <v>126690.45655927446</v>
      </c>
      <c r="B137" s="37">
        <v>44601</v>
      </c>
    </row>
    <row r="138" spans="1:2" x14ac:dyDescent="0.3">
      <c r="A138" s="33">
        <v>60082.639205230036</v>
      </c>
      <c r="B138" s="37">
        <v>44602</v>
      </c>
    </row>
    <row r="139" spans="1:2" x14ac:dyDescent="0.3">
      <c r="A139" s="33">
        <v>55992.134468121396</v>
      </c>
      <c r="B139" s="37">
        <v>44603</v>
      </c>
    </row>
    <row r="140" spans="1:2" x14ac:dyDescent="0.3">
      <c r="A140" s="33">
        <v>108908.09726652391</v>
      </c>
      <c r="B140" s="37">
        <v>44606</v>
      </c>
    </row>
    <row r="141" spans="1:2" x14ac:dyDescent="0.3">
      <c r="A141" s="33">
        <v>99914.106713600733</v>
      </c>
      <c r="B141" s="37">
        <v>44607</v>
      </c>
    </row>
    <row r="142" spans="1:2" x14ac:dyDescent="0.3">
      <c r="A142" s="33">
        <v>42783.436619892993</v>
      </c>
      <c r="B142" s="37">
        <v>44608</v>
      </c>
    </row>
    <row r="143" spans="1:2" x14ac:dyDescent="0.3">
      <c r="A143" s="33">
        <v>48141.725809727242</v>
      </c>
      <c r="B143" s="37">
        <v>44609</v>
      </c>
    </row>
    <row r="144" spans="1:2" x14ac:dyDescent="0.3">
      <c r="A144" s="33">
        <v>62933.64128621803</v>
      </c>
      <c r="B144" s="37">
        <v>44610</v>
      </c>
    </row>
    <row r="145" spans="1:2" x14ac:dyDescent="0.3">
      <c r="A145" s="33">
        <v>76632.276801506989</v>
      </c>
      <c r="B145" s="37">
        <v>44613</v>
      </c>
    </row>
    <row r="146" spans="1:2" x14ac:dyDescent="0.3">
      <c r="A146" s="33">
        <v>51394.297050681605</v>
      </c>
      <c r="B146" s="37">
        <v>44614</v>
      </c>
    </row>
    <row r="147" spans="1:2" x14ac:dyDescent="0.3">
      <c r="A147" s="33">
        <v>37298.708843431632</v>
      </c>
      <c r="B147" s="37">
        <v>44615</v>
      </c>
    </row>
    <row r="148" spans="1:2" x14ac:dyDescent="0.3">
      <c r="A148" s="33">
        <v>71801.854108908185</v>
      </c>
      <c r="B148" s="37">
        <v>44617</v>
      </c>
    </row>
    <row r="149" spans="1:2" x14ac:dyDescent="0.3">
      <c r="A149" s="33">
        <v>461940.09067446663</v>
      </c>
      <c r="B149" s="37">
        <v>44622</v>
      </c>
    </row>
    <row r="150" spans="1:2" x14ac:dyDescent="0.3">
      <c r="A150" s="33">
        <v>332645.0997690743</v>
      </c>
      <c r="B150" s="37">
        <v>44623</v>
      </c>
    </row>
    <row r="151" spans="1:2" x14ac:dyDescent="0.3">
      <c r="A151" s="33">
        <v>653402.4604889896</v>
      </c>
      <c r="B151" s="37">
        <v>44624</v>
      </c>
    </row>
    <row r="152" spans="1:2" x14ac:dyDescent="0.3">
      <c r="A152" s="33">
        <v>626656.33819360693</v>
      </c>
      <c r="B152" s="37">
        <v>44627</v>
      </c>
    </row>
    <row r="153" spans="1:2" x14ac:dyDescent="0.3">
      <c r="A153" s="33">
        <v>91948.308182246343</v>
      </c>
      <c r="B153" s="37">
        <v>44628</v>
      </c>
    </row>
    <row r="154" spans="1:2" x14ac:dyDescent="0.3">
      <c r="A154" s="33">
        <v>90884.893326150748</v>
      </c>
      <c r="B154" s="37">
        <v>44652</v>
      </c>
    </row>
    <row r="155" spans="1:2" x14ac:dyDescent="0.3">
      <c r="A155" s="33">
        <v>613315.68056913139</v>
      </c>
      <c r="B155" s="37">
        <v>44658</v>
      </c>
    </row>
    <row r="156" spans="1:2" x14ac:dyDescent="0.3">
      <c r="A156" s="33">
        <v>5458655.6117184209</v>
      </c>
      <c r="B156" s="37">
        <v>44659</v>
      </c>
    </row>
    <row r="157" spans="1:2" x14ac:dyDescent="0.3">
      <c r="A157" s="33">
        <v>16669.814214387563</v>
      </c>
      <c r="B157" s="37">
        <v>44652</v>
      </c>
    </row>
    <row r="158" spans="1:2" x14ac:dyDescent="0.3">
      <c r="A158" s="33">
        <v>2697648.9692418836</v>
      </c>
      <c r="B158" s="37">
        <v>44658</v>
      </c>
    </row>
    <row r="159" spans="1:2" x14ac:dyDescent="0.3">
      <c r="A159" s="33">
        <v>5764394.4052298404</v>
      </c>
      <c r="B159" s="37">
        <v>44659</v>
      </c>
    </row>
    <row r="160" spans="1:2" x14ac:dyDescent="0.3">
      <c r="A160" s="33">
        <v>1667533.6482973348</v>
      </c>
      <c r="B160" s="37">
        <v>44659</v>
      </c>
    </row>
    <row r="161" spans="1:2" x14ac:dyDescent="0.3">
      <c r="A161" s="33">
        <v>3513643.9393052557</v>
      </c>
      <c r="B161" s="37">
        <v>44659</v>
      </c>
    </row>
    <row r="162" spans="1:2" x14ac:dyDescent="0.3">
      <c r="A162" s="33">
        <v>797336.84783322772</v>
      </c>
      <c r="B162" s="37">
        <v>44659</v>
      </c>
    </row>
    <row r="163" spans="1:2" x14ac:dyDescent="0.3">
      <c r="A163" s="33">
        <v>11914041.360879725</v>
      </c>
      <c r="B163" s="37">
        <v>44662</v>
      </c>
    </row>
    <row r="164" spans="1:2" x14ac:dyDescent="0.3">
      <c r="A164" s="33">
        <v>14263575.228828007</v>
      </c>
      <c r="B164" s="37">
        <v>44662</v>
      </c>
    </row>
    <row r="165" spans="1:2" x14ac:dyDescent="0.3">
      <c r="A165" s="33">
        <v>7197275.8401575191</v>
      </c>
      <c r="B165" s="37">
        <v>44662</v>
      </c>
    </row>
    <row r="166" spans="1:2" x14ac:dyDescent="0.3">
      <c r="A166" s="33">
        <v>1670561.7857860141</v>
      </c>
      <c r="B166" s="37">
        <v>44662</v>
      </c>
    </row>
    <row r="167" spans="1:2" x14ac:dyDescent="0.3">
      <c r="A167" s="33">
        <v>3319871.0554744424</v>
      </c>
      <c r="B167" s="37">
        <v>44663</v>
      </c>
    </row>
    <row r="168" spans="1:2" x14ac:dyDescent="0.3">
      <c r="A168" s="33">
        <v>3999920.9556830968</v>
      </c>
      <c r="B168" s="37">
        <v>44663</v>
      </c>
    </row>
    <row r="169" spans="1:2" x14ac:dyDescent="0.3">
      <c r="A169" s="33">
        <v>2055447.5547303623</v>
      </c>
      <c r="B169" s="37">
        <v>44663</v>
      </c>
    </row>
    <row r="170" spans="1:2" x14ac:dyDescent="0.3">
      <c r="A170" s="33">
        <v>496542.38977923087</v>
      </c>
      <c r="B170" s="37">
        <v>44663</v>
      </c>
    </row>
    <row r="171" spans="1:2" x14ac:dyDescent="0.3">
      <c r="A171" s="33">
        <v>40257.801343077364</v>
      </c>
      <c r="B171" s="37">
        <v>44662</v>
      </c>
    </row>
    <row r="172" spans="1:2" x14ac:dyDescent="0.3">
      <c r="A172" s="33">
        <v>2479509.8289855425</v>
      </c>
      <c r="B172" s="37">
        <v>44664</v>
      </c>
    </row>
    <row r="173" spans="1:2" x14ac:dyDescent="0.3">
      <c r="A173" s="33">
        <v>24918.703172122179</v>
      </c>
      <c r="B173" s="37">
        <v>44652</v>
      </c>
    </row>
    <row r="174" spans="1:2" x14ac:dyDescent="0.3">
      <c r="A174" s="33">
        <v>937698.97742245323</v>
      </c>
      <c r="B174" s="37">
        <v>44665</v>
      </c>
    </row>
    <row r="175" spans="1:2" x14ac:dyDescent="0.3">
      <c r="A175" s="33">
        <v>3226514.3477618084</v>
      </c>
      <c r="B175" s="37">
        <v>44662</v>
      </c>
    </row>
    <row r="176" spans="1:2" x14ac:dyDescent="0.3">
      <c r="A176" s="33">
        <v>7966617.2342737662</v>
      </c>
      <c r="B176" s="37">
        <v>44662</v>
      </c>
    </row>
    <row r="177" spans="1:2" x14ac:dyDescent="0.3">
      <c r="A177" s="33">
        <v>14244.647815952727</v>
      </c>
      <c r="B177" s="37">
        <v>44662</v>
      </c>
    </row>
    <row r="178" spans="1:2" x14ac:dyDescent="0.3">
      <c r="A178" s="33">
        <v>1683339.8101709757</v>
      </c>
      <c r="B178" s="37">
        <v>44664</v>
      </c>
    </row>
    <row r="179" spans="1:2" x14ac:dyDescent="0.3">
      <c r="A179" s="33">
        <v>4935555.7769326307</v>
      </c>
      <c r="B179" s="37">
        <v>44664</v>
      </c>
    </row>
    <row r="180" spans="1:2" x14ac:dyDescent="0.3">
      <c r="A180" s="33">
        <v>2539101.5763494107</v>
      </c>
      <c r="B180" s="37">
        <v>44664</v>
      </c>
    </row>
    <row r="181" spans="1:2" x14ac:dyDescent="0.3">
      <c r="A181" s="33">
        <v>603076.34507392417</v>
      </c>
      <c r="B181" s="37">
        <v>44664</v>
      </c>
    </row>
    <row r="182" spans="1:2" x14ac:dyDescent="0.3">
      <c r="A182" s="33">
        <v>2875597.0762316086</v>
      </c>
      <c r="B182" s="37">
        <v>44665</v>
      </c>
    </row>
    <row r="183" spans="1:2" x14ac:dyDescent="0.3">
      <c r="A183" s="33">
        <v>4770177.247929777</v>
      </c>
      <c r="B183" s="37">
        <v>44665</v>
      </c>
    </row>
    <row r="184" spans="1:2" x14ac:dyDescent="0.3">
      <c r="A184" s="33">
        <v>2512845.3350130338</v>
      </c>
      <c r="B184" s="37">
        <v>44665</v>
      </c>
    </row>
    <row r="185" spans="1:2" x14ac:dyDescent="0.3">
      <c r="A185" s="33">
        <v>587414.95109740412</v>
      </c>
      <c r="B185" s="37">
        <v>44665</v>
      </c>
    </row>
    <row r="186" spans="1:2" x14ac:dyDescent="0.3">
      <c r="A186" s="33">
        <v>137355.7393741422</v>
      </c>
      <c r="B186" s="37">
        <v>44652</v>
      </c>
    </row>
    <row r="187" spans="1:2" x14ac:dyDescent="0.3">
      <c r="A187" s="33">
        <v>3082486.4996912945</v>
      </c>
      <c r="B187" s="37">
        <v>44655</v>
      </c>
    </row>
    <row r="188" spans="1:2" x14ac:dyDescent="0.3">
      <c r="A188" s="33">
        <v>8734226.2500496283</v>
      </c>
      <c r="B188" s="37">
        <v>44656</v>
      </c>
    </row>
    <row r="189" spans="1:2" x14ac:dyDescent="0.3">
      <c r="A189" s="33">
        <v>8622812.706160903</v>
      </c>
      <c r="B189" s="37">
        <v>44657</v>
      </c>
    </row>
    <row r="190" spans="1:2" x14ac:dyDescent="0.3">
      <c r="A190" s="33">
        <v>334064.3254402834</v>
      </c>
      <c r="B190" s="37">
        <v>44662</v>
      </c>
    </row>
    <row r="191" spans="1:2" x14ac:dyDescent="0.3">
      <c r="A191" s="33">
        <v>2972615.7564617079</v>
      </c>
      <c r="B191" s="37">
        <v>44663</v>
      </c>
    </row>
    <row r="192" spans="1:2" x14ac:dyDescent="0.3">
      <c r="A192" s="33">
        <v>22722.822640367685</v>
      </c>
      <c r="B192" s="37">
        <v>44649</v>
      </c>
    </row>
    <row r="193" spans="1:2" x14ac:dyDescent="0.3">
      <c r="A193" s="33">
        <v>1140898.4208828169</v>
      </c>
      <c r="B193" s="37">
        <v>44669</v>
      </c>
    </row>
    <row r="194" spans="1:2" x14ac:dyDescent="0.3">
      <c r="A194" s="33">
        <v>876661.51420037576</v>
      </c>
      <c r="B194" s="37">
        <v>44670</v>
      </c>
    </row>
    <row r="195" spans="1:2" x14ac:dyDescent="0.3">
      <c r="A195" s="33">
        <v>155135.97105221439</v>
      </c>
      <c r="B195" s="37">
        <v>44649</v>
      </c>
    </row>
    <row r="196" spans="1:2" x14ac:dyDescent="0.3">
      <c r="A196" s="33">
        <v>1324271.5209222788</v>
      </c>
      <c r="B196" s="37">
        <v>44650</v>
      </c>
    </row>
    <row r="197" spans="1:2" x14ac:dyDescent="0.3">
      <c r="A197" s="33">
        <v>3211224.0216820771</v>
      </c>
      <c r="B197" s="37">
        <v>44650</v>
      </c>
    </row>
    <row r="198" spans="1:2" x14ac:dyDescent="0.3">
      <c r="A198" s="33">
        <v>721286.53820651607</v>
      </c>
      <c r="B198" s="37">
        <v>44650</v>
      </c>
    </row>
    <row r="199" spans="1:2" x14ac:dyDescent="0.3">
      <c r="A199" s="33">
        <v>755435.08299887297</v>
      </c>
      <c r="B199" s="37">
        <v>44651</v>
      </c>
    </row>
    <row r="200" spans="1:2" x14ac:dyDescent="0.3">
      <c r="A200" s="33">
        <v>323763.82186707604</v>
      </c>
      <c r="B200" s="37">
        <v>44665</v>
      </c>
    </row>
    <row r="201" spans="1:2" x14ac:dyDescent="0.3">
      <c r="A201" s="33">
        <v>16193787.638859773</v>
      </c>
      <c r="B201" s="37">
        <v>44669</v>
      </c>
    </row>
    <row r="202" spans="1:2" x14ac:dyDescent="0.3">
      <c r="A202" s="33">
        <v>24785.686775458984</v>
      </c>
      <c r="B202" s="37">
        <v>44637</v>
      </c>
    </row>
    <row r="203" spans="1:2" x14ac:dyDescent="0.3">
      <c r="A203" s="33">
        <v>268249.28084612009</v>
      </c>
      <c r="B203" s="37">
        <v>44641</v>
      </c>
    </row>
    <row r="204" spans="1:2" x14ac:dyDescent="0.3">
      <c r="A204" s="33">
        <v>42588300.649658307</v>
      </c>
      <c r="B204" s="37">
        <v>44579</v>
      </c>
    </row>
    <row r="205" spans="1:2" x14ac:dyDescent="0.3">
      <c r="A205" s="33">
        <v>140706.10784844751</v>
      </c>
      <c r="B205" s="37">
        <v>44608</v>
      </c>
    </row>
    <row r="206" spans="1:2" x14ac:dyDescent="0.3">
      <c r="A206" s="33">
        <v>470370.32599575247</v>
      </c>
      <c r="B206" s="37">
        <v>44607</v>
      </c>
    </row>
    <row r="207" spans="1:2" x14ac:dyDescent="0.3">
      <c r="A207" s="33">
        <v>769518.76202849951</v>
      </c>
      <c r="B207" s="37">
        <v>44606</v>
      </c>
    </row>
    <row r="208" spans="1:2" x14ac:dyDescent="0.3">
      <c r="A208" s="33">
        <v>221949.7597213985</v>
      </c>
      <c r="B208" s="37">
        <v>44608</v>
      </c>
    </row>
    <row r="209" spans="1:2" x14ac:dyDescent="0.3">
      <c r="A209" s="33">
        <v>252719.93265748955</v>
      </c>
      <c r="B209" s="37">
        <v>44607</v>
      </c>
    </row>
    <row r="210" spans="1:2" x14ac:dyDescent="0.3">
      <c r="A210" s="33">
        <v>611051.33581048006</v>
      </c>
      <c r="B210" s="37">
        <v>44579</v>
      </c>
    </row>
    <row r="211" spans="1:2" x14ac:dyDescent="0.3">
      <c r="A211" s="33">
        <v>1523921.3836387214</v>
      </c>
      <c r="B211" s="37">
        <v>44608</v>
      </c>
    </row>
    <row r="212" spans="1:2" x14ac:dyDescent="0.3">
      <c r="A212" s="33">
        <v>18161577.235981584</v>
      </c>
      <c r="B212" s="37">
        <v>44579</v>
      </c>
    </row>
    <row r="213" spans="1:2" x14ac:dyDescent="0.3">
      <c r="A213" s="33">
        <v>156284.25749633252</v>
      </c>
      <c r="B213" s="37">
        <v>44608</v>
      </c>
    </row>
    <row r="214" spans="1:2" x14ac:dyDescent="0.3">
      <c r="A214" s="33">
        <v>194524.51929856135</v>
      </c>
      <c r="B214" s="37">
        <v>44607</v>
      </c>
    </row>
    <row r="215" spans="1:2" x14ac:dyDescent="0.3">
      <c r="A215" s="33">
        <v>10424971.018399077</v>
      </c>
      <c r="B215" s="37">
        <v>44614</v>
      </c>
    </row>
    <row r="216" spans="1:2" x14ac:dyDescent="0.3">
      <c r="A216" s="33">
        <v>446682.79343192111</v>
      </c>
      <c r="B216" s="37">
        <v>44614</v>
      </c>
    </row>
    <row r="217" spans="1:2" x14ac:dyDescent="0.3">
      <c r="A217" s="33">
        <v>908904.52386746125</v>
      </c>
      <c r="B217" s="37">
        <v>44614</v>
      </c>
    </row>
    <row r="218" spans="1:2" x14ac:dyDescent="0.3">
      <c r="A218" s="33">
        <v>35055.436523134078</v>
      </c>
      <c r="B218" s="37">
        <v>44613</v>
      </c>
    </row>
    <row r="219" spans="1:2" x14ac:dyDescent="0.3">
      <c r="A219" s="33">
        <v>4341989.9458788298</v>
      </c>
      <c r="B219" s="37">
        <v>44614</v>
      </c>
    </row>
    <row r="220" spans="1:2" x14ac:dyDescent="0.3">
      <c r="A220" s="33">
        <v>4675221.4646694763</v>
      </c>
      <c r="B220" s="37">
        <v>44613</v>
      </c>
    </row>
    <row r="221" spans="1:2" x14ac:dyDescent="0.3">
      <c r="A221" s="33">
        <v>610837.11282144045</v>
      </c>
      <c r="B221" s="37">
        <v>44614</v>
      </c>
    </row>
    <row r="222" spans="1:2" x14ac:dyDescent="0.3">
      <c r="A222" s="33">
        <v>4120478.6243270538</v>
      </c>
      <c r="B222" s="37">
        <v>44566</v>
      </c>
    </row>
    <row r="223" spans="1:2" x14ac:dyDescent="0.3">
      <c r="A223" s="33">
        <v>2978591.0351333586</v>
      </c>
      <c r="B223" s="37">
        <v>44567</v>
      </c>
    </row>
    <row r="224" spans="1:2" x14ac:dyDescent="0.3">
      <c r="A224" s="33">
        <v>903575.01342446916</v>
      </c>
      <c r="B224" s="37">
        <v>44573</v>
      </c>
    </row>
    <row r="225" spans="1:2" x14ac:dyDescent="0.3">
      <c r="A225" s="33">
        <v>4270858.3885834878</v>
      </c>
      <c r="B225" s="37">
        <v>44616</v>
      </c>
    </row>
    <row r="226" spans="1:2" x14ac:dyDescent="0.3">
      <c r="A226" s="33">
        <v>6318583.2309165308</v>
      </c>
      <c r="B226" s="37">
        <v>44616</v>
      </c>
    </row>
    <row r="227" spans="1:2" x14ac:dyDescent="0.3">
      <c r="A227" s="33">
        <v>5618784.9002697011</v>
      </c>
      <c r="B227" s="37">
        <v>44615</v>
      </c>
    </row>
    <row r="228" spans="1:2" x14ac:dyDescent="0.3">
      <c r="A228" s="33">
        <v>2767398.4427474202</v>
      </c>
      <c r="B228" s="37">
        <v>44616</v>
      </c>
    </row>
    <row r="229" spans="1:2" x14ac:dyDescent="0.3">
      <c r="A229" s="33">
        <v>776570.50144194975</v>
      </c>
      <c r="B229" s="37">
        <v>44616</v>
      </c>
    </row>
    <row r="230" spans="1:2" x14ac:dyDescent="0.3">
      <c r="A230" s="33"/>
      <c r="B230" s="37"/>
    </row>
    <row r="231" spans="1:2" x14ac:dyDescent="0.3">
      <c r="A231" s="33"/>
      <c r="B231" s="37"/>
    </row>
    <row r="232" spans="1:2" x14ac:dyDescent="0.3">
      <c r="A232" s="33"/>
      <c r="B232" s="37"/>
    </row>
    <row r="233" spans="1:2" x14ac:dyDescent="0.3">
      <c r="A233" s="33"/>
      <c r="B233" s="37"/>
    </row>
    <row r="234" spans="1:2" x14ac:dyDescent="0.3">
      <c r="A234" s="33"/>
      <c r="B234" s="37"/>
    </row>
    <row r="235" spans="1:2" x14ac:dyDescent="0.3">
      <c r="A235" s="33"/>
      <c r="B235" s="37"/>
    </row>
    <row r="236" spans="1:2" x14ac:dyDescent="0.3">
      <c r="A236" s="33"/>
      <c r="B236" s="37"/>
    </row>
    <row r="237" spans="1:2" x14ac:dyDescent="0.3">
      <c r="A237" s="33"/>
      <c r="B237" s="37"/>
    </row>
    <row r="238" spans="1:2" x14ac:dyDescent="0.3">
      <c r="A238" s="33"/>
      <c r="B238" s="37"/>
    </row>
    <row r="239" spans="1:2" x14ac:dyDescent="0.3">
      <c r="A239" s="33"/>
      <c r="B239" s="37"/>
    </row>
    <row r="240" spans="1:2" x14ac:dyDescent="0.3">
      <c r="A240" s="33"/>
      <c r="B240" s="37"/>
    </row>
    <row r="241" spans="1:2" x14ac:dyDescent="0.3">
      <c r="A241" s="33"/>
      <c r="B241" s="37"/>
    </row>
    <row r="242" spans="1:2" x14ac:dyDescent="0.3">
      <c r="A242" s="33"/>
      <c r="B242" s="37"/>
    </row>
    <row r="243" spans="1:2" x14ac:dyDescent="0.3">
      <c r="A243" s="33"/>
      <c r="B243" s="37"/>
    </row>
    <row r="244" spans="1:2" x14ac:dyDescent="0.3">
      <c r="A244" s="33"/>
      <c r="B244" s="37"/>
    </row>
    <row r="245" spans="1:2" x14ac:dyDescent="0.3">
      <c r="A245" s="33"/>
      <c r="B245" s="37"/>
    </row>
    <row r="246" spans="1:2" x14ac:dyDescent="0.3">
      <c r="A246" s="33"/>
      <c r="B246" s="37"/>
    </row>
    <row r="247" spans="1:2" x14ac:dyDescent="0.3">
      <c r="A247" s="33"/>
      <c r="B247" s="37"/>
    </row>
    <row r="248" spans="1:2" x14ac:dyDescent="0.3">
      <c r="A248" s="33"/>
      <c r="B248" s="37"/>
    </row>
    <row r="249" spans="1:2" x14ac:dyDescent="0.3">
      <c r="A249" s="33"/>
      <c r="B249" s="37"/>
    </row>
    <row r="250" spans="1:2" x14ac:dyDescent="0.3">
      <c r="A250" s="33"/>
      <c r="B250" s="37"/>
    </row>
    <row r="251" spans="1:2" x14ac:dyDescent="0.3">
      <c r="A251" s="33"/>
      <c r="B251" s="37"/>
    </row>
    <row r="252" spans="1:2" x14ac:dyDescent="0.3">
      <c r="A252" s="33"/>
      <c r="B252" s="37"/>
    </row>
    <row r="253" spans="1:2" x14ac:dyDescent="0.3">
      <c r="A253" s="33"/>
      <c r="B253" s="37"/>
    </row>
    <row r="254" spans="1:2" x14ac:dyDescent="0.3">
      <c r="A254" s="33"/>
      <c r="B254" s="37"/>
    </row>
    <row r="255" spans="1:2" x14ac:dyDescent="0.3">
      <c r="A255" s="33"/>
      <c r="B255" s="37"/>
    </row>
    <row r="256" spans="1:2" x14ac:dyDescent="0.3">
      <c r="A256" s="33"/>
      <c r="B256" s="37"/>
    </row>
    <row r="257" spans="1:2" x14ac:dyDescent="0.3">
      <c r="A257" s="33"/>
      <c r="B257" s="37"/>
    </row>
    <row r="258" spans="1:2" x14ac:dyDescent="0.3">
      <c r="A258" s="33"/>
      <c r="B258" s="37"/>
    </row>
    <row r="259" spans="1:2" x14ac:dyDescent="0.3">
      <c r="A259" s="33"/>
      <c r="B259" s="37"/>
    </row>
    <row r="260" spans="1:2" x14ac:dyDescent="0.3">
      <c r="A260" s="33"/>
      <c r="B260" s="37"/>
    </row>
    <row r="261" spans="1:2" x14ac:dyDescent="0.3">
      <c r="A261" s="33"/>
      <c r="B261" s="37"/>
    </row>
    <row r="262" spans="1:2" x14ac:dyDescent="0.3">
      <c r="A262" s="33"/>
      <c r="B262" s="37"/>
    </row>
    <row r="263" spans="1:2" x14ac:dyDescent="0.3">
      <c r="A263" s="33"/>
      <c r="B263" s="37"/>
    </row>
    <row r="264" spans="1:2" x14ac:dyDescent="0.3">
      <c r="A264" s="33"/>
      <c r="B264" s="37"/>
    </row>
    <row r="265" spans="1:2" x14ac:dyDescent="0.3">
      <c r="A265" s="33"/>
      <c r="B265" s="37"/>
    </row>
    <row r="266" spans="1:2" x14ac:dyDescent="0.3">
      <c r="A266" s="33"/>
      <c r="B266" s="37"/>
    </row>
    <row r="267" spans="1:2" x14ac:dyDescent="0.3">
      <c r="A267" s="33"/>
      <c r="B267" s="37"/>
    </row>
    <row r="268" spans="1:2" x14ac:dyDescent="0.3">
      <c r="A268" s="33"/>
      <c r="B268" s="37"/>
    </row>
    <row r="269" spans="1:2" x14ac:dyDescent="0.3">
      <c r="A269" s="33"/>
      <c r="B269" s="37"/>
    </row>
    <row r="270" spans="1:2" x14ac:dyDescent="0.3">
      <c r="A270" s="33"/>
      <c r="B270" s="37"/>
    </row>
    <row r="271" spans="1:2" x14ac:dyDescent="0.3">
      <c r="A271" s="33"/>
      <c r="B271" s="37"/>
    </row>
    <row r="272" spans="1:2" x14ac:dyDescent="0.3">
      <c r="A272" s="33"/>
      <c r="B272" s="37"/>
    </row>
    <row r="273" spans="1:2" x14ac:dyDescent="0.3">
      <c r="A273" s="33"/>
      <c r="B273" s="37"/>
    </row>
    <row r="274" spans="1:2" x14ac:dyDescent="0.3">
      <c r="A274" s="33"/>
      <c r="B274" s="37"/>
    </row>
    <row r="275" spans="1:2" x14ac:dyDescent="0.3">
      <c r="A275" s="33"/>
      <c r="B275" s="37"/>
    </row>
    <row r="276" spans="1:2" x14ac:dyDescent="0.3">
      <c r="A276" s="33"/>
      <c r="B276" s="37"/>
    </row>
    <row r="277" spans="1:2" x14ac:dyDescent="0.3">
      <c r="A277" s="33"/>
      <c r="B277" s="37"/>
    </row>
    <row r="278" spans="1:2" x14ac:dyDescent="0.3">
      <c r="A278" s="33"/>
      <c r="B278" s="37"/>
    </row>
    <row r="279" spans="1:2" x14ac:dyDescent="0.3">
      <c r="A279" s="33"/>
      <c r="B279" s="37"/>
    </row>
    <row r="280" spans="1:2" x14ac:dyDescent="0.3">
      <c r="A280" s="33"/>
      <c r="B280" s="37"/>
    </row>
    <row r="281" spans="1:2" x14ac:dyDescent="0.3">
      <c r="A281" s="33"/>
      <c r="B281" s="37"/>
    </row>
    <row r="282" spans="1:2" x14ac:dyDescent="0.3">
      <c r="A282" s="33"/>
      <c r="B282" s="37"/>
    </row>
    <row r="283" spans="1:2" x14ac:dyDescent="0.3">
      <c r="A283" s="33"/>
      <c r="B283" s="37"/>
    </row>
    <row r="284" spans="1:2" x14ac:dyDescent="0.3">
      <c r="A284" s="33"/>
      <c r="B284" s="37"/>
    </row>
    <row r="285" spans="1:2" x14ac:dyDescent="0.3">
      <c r="A285" s="33"/>
      <c r="B285" s="37"/>
    </row>
    <row r="286" spans="1:2" x14ac:dyDescent="0.3">
      <c r="A286" s="33"/>
      <c r="B286" s="37"/>
    </row>
    <row r="287" spans="1:2" x14ac:dyDescent="0.3">
      <c r="A287" s="33"/>
      <c r="B287" s="37"/>
    </row>
    <row r="288" spans="1:2" x14ac:dyDescent="0.3">
      <c r="A288" s="33"/>
      <c r="B288" s="37"/>
    </row>
    <row r="289" spans="1:2" x14ac:dyDescent="0.3">
      <c r="A289" s="33"/>
      <c r="B289" s="37"/>
    </row>
    <row r="290" spans="1:2" x14ac:dyDescent="0.3">
      <c r="A290" s="33"/>
      <c r="B290" s="37"/>
    </row>
    <row r="291" spans="1:2" x14ac:dyDescent="0.3">
      <c r="A291" s="33"/>
      <c r="B291" s="37"/>
    </row>
    <row r="292" spans="1:2" x14ac:dyDescent="0.3">
      <c r="A292" s="33"/>
      <c r="B292" s="37"/>
    </row>
    <row r="293" spans="1:2" x14ac:dyDescent="0.3">
      <c r="A293" s="33"/>
      <c r="B293" s="37"/>
    </row>
    <row r="294" spans="1:2" x14ac:dyDescent="0.3">
      <c r="A294" s="33"/>
      <c r="B294" s="37"/>
    </row>
    <row r="295" spans="1:2" x14ac:dyDescent="0.3">
      <c r="A295" s="33"/>
      <c r="B295" s="37"/>
    </row>
    <row r="296" spans="1:2" x14ac:dyDescent="0.3">
      <c r="A296" s="33"/>
      <c r="B296" s="37"/>
    </row>
    <row r="297" spans="1:2" x14ac:dyDescent="0.3">
      <c r="A297" s="33"/>
      <c r="B297" s="37"/>
    </row>
    <row r="298" spans="1:2" x14ac:dyDescent="0.3">
      <c r="A298" s="33"/>
      <c r="B298" s="37"/>
    </row>
    <row r="299" spans="1:2" x14ac:dyDescent="0.3">
      <c r="A299" s="33"/>
      <c r="B299" s="37"/>
    </row>
    <row r="300" spans="1:2" x14ac:dyDescent="0.3">
      <c r="A300" s="33"/>
      <c r="B300" s="37"/>
    </row>
    <row r="301" spans="1:2" x14ac:dyDescent="0.3">
      <c r="A301" s="33"/>
      <c r="B301" s="37"/>
    </row>
    <row r="302" spans="1:2" x14ac:dyDescent="0.3">
      <c r="A302" s="33"/>
      <c r="B302" s="37"/>
    </row>
    <row r="303" spans="1:2" x14ac:dyDescent="0.3">
      <c r="A303" s="33"/>
      <c r="B303" s="37"/>
    </row>
    <row r="304" spans="1:2" x14ac:dyDescent="0.3">
      <c r="A304" s="33"/>
      <c r="B304" s="37"/>
    </row>
    <row r="305" spans="1:2" x14ac:dyDescent="0.3">
      <c r="A305" s="33"/>
      <c r="B305" s="37"/>
    </row>
    <row r="306" spans="1:2" x14ac:dyDescent="0.3">
      <c r="A306" s="33"/>
      <c r="B306" s="37"/>
    </row>
    <row r="307" spans="1:2" x14ac:dyDescent="0.3">
      <c r="A307" s="33"/>
      <c r="B307" s="37"/>
    </row>
    <row r="308" spans="1:2" x14ac:dyDescent="0.3">
      <c r="A308" s="33"/>
      <c r="B308" s="37"/>
    </row>
    <row r="309" spans="1:2" x14ac:dyDescent="0.3">
      <c r="A309" s="33"/>
      <c r="B309" s="37"/>
    </row>
    <row r="310" spans="1:2" x14ac:dyDescent="0.3">
      <c r="A310" s="33"/>
      <c r="B310" s="37"/>
    </row>
    <row r="311" spans="1:2" x14ac:dyDescent="0.3">
      <c r="A311" s="33"/>
      <c r="B311" s="37"/>
    </row>
    <row r="312" spans="1:2" x14ac:dyDescent="0.3">
      <c r="A312" s="33"/>
      <c r="B312" s="37"/>
    </row>
    <row r="313" spans="1:2" x14ac:dyDescent="0.3">
      <c r="A313" s="33"/>
      <c r="B313" s="37"/>
    </row>
    <row r="314" spans="1:2" x14ac:dyDescent="0.3">
      <c r="A314" s="33"/>
      <c r="B314" s="37"/>
    </row>
    <row r="315" spans="1:2" x14ac:dyDescent="0.3">
      <c r="A315" s="33"/>
      <c r="B315" s="37"/>
    </row>
    <row r="316" spans="1:2" x14ac:dyDescent="0.3">
      <c r="A316" s="33"/>
      <c r="B316" s="37"/>
    </row>
    <row r="317" spans="1:2" x14ac:dyDescent="0.3">
      <c r="A317" s="33"/>
      <c r="B317" s="37"/>
    </row>
    <row r="318" spans="1:2" x14ac:dyDescent="0.3">
      <c r="A318" s="33"/>
      <c r="B318" s="37"/>
    </row>
    <row r="319" spans="1:2" x14ac:dyDescent="0.3">
      <c r="A319" s="33"/>
      <c r="B319" s="37"/>
    </row>
    <row r="320" spans="1:2" x14ac:dyDescent="0.3">
      <c r="A320" s="33"/>
      <c r="B320" s="37"/>
    </row>
    <row r="321" spans="1:2" x14ac:dyDescent="0.3">
      <c r="A321" s="33"/>
      <c r="B321" s="37"/>
    </row>
    <row r="322" spans="1:2" x14ac:dyDescent="0.3">
      <c r="A322" s="33"/>
      <c r="B322" s="37"/>
    </row>
    <row r="323" spans="1:2" x14ac:dyDescent="0.3">
      <c r="A323" s="33"/>
      <c r="B323" s="37"/>
    </row>
    <row r="324" spans="1:2" x14ac:dyDescent="0.3">
      <c r="A324" s="33"/>
      <c r="B324" s="37"/>
    </row>
    <row r="325" spans="1:2" x14ac:dyDescent="0.3">
      <c r="A325" s="33"/>
      <c r="B325" s="37"/>
    </row>
    <row r="326" spans="1:2" x14ac:dyDescent="0.3">
      <c r="A326" s="33"/>
      <c r="B326" s="37"/>
    </row>
    <row r="327" spans="1:2" x14ac:dyDescent="0.3">
      <c r="A327" s="33"/>
      <c r="B327" s="37"/>
    </row>
    <row r="328" spans="1:2" x14ac:dyDescent="0.3">
      <c r="A328" s="33"/>
      <c r="B328" s="37"/>
    </row>
    <row r="329" spans="1:2" x14ac:dyDescent="0.3">
      <c r="A329" s="33"/>
      <c r="B329" s="37"/>
    </row>
    <row r="330" spans="1:2" x14ac:dyDescent="0.3">
      <c r="A330" s="33"/>
      <c r="B330" s="37"/>
    </row>
    <row r="331" spans="1:2" x14ac:dyDescent="0.3">
      <c r="A331" s="33"/>
      <c r="B331" s="37"/>
    </row>
    <row r="332" spans="1:2" x14ac:dyDescent="0.3">
      <c r="A332" s="33"/>
      <c r="B332" s="37"/>
    </row>
    <row r="333" spans="1:2" x14ac:dyDescent="0.3">
      <c r="A333" s="33"/>
      <c r="B333" s="37"/>
    </row>
    <row r="334" spans="1:2" x14ac:dyDescent="0.3">
      <c r="A334" s="33"/>
      <c r="B334" s="37"/>
    </row>
    <row r="335" spans="1:2" x14ac:dyDescent="0.3">
      <c r="A335" s="33"/>
      <c r="B335" s="37"/>
    </row>
    <row r="336" spans="1:2" x14ac:dyDescent="0.3">
      <c r="A336" s="33"/>
      <c r="B336" s="37"/>
    </row>
    <row r="337" spans="1:2" x14ac:dyDescent="0.3">
      <c r="A337" s="33"/>
      <c r="B337" s="37"/>
    </row>
    <row r="338" spans="1:2" x14ac:dyDescent="0.3">
      <c r="A338" s="33"/>
      <c r="B338" s="37"/>
    </row>
    <row r="339" spans="1:2" x14ac:dyDescent="0.3">
      <c r="A339" s="33"/>
      <c r="B339" s="37"/>
    </row>
    <row r="340" spans="1:2" x14ac:dyDescent="0.3">
      <c r="A340" s="33"/>
      <c r="B340" s="37"/>
    </row>
    <row r="341" spans="1:2" x14ac:dyDescent="0.3">
      <c r="A341" s="33"/>
      <c r="B341" s="37"/>
    </row>
    <row r="342" spans="1:2" x14ac:dyDescent="0.3">
      <c r="A342" s="33"/>
      <c r="B342" s="37"/>
    </row>
    <row r="343" spans="1:2" x14ac:dyDescent="0.3">
      <c r="A343" s="33"/>
      <c r="B343" s="37"/>
    </row>
    <row r="344" spans="1:2" x14ac:dyDescent="0.3">
      <c r="A344" s="33"/>
      <c r="B344" s="37"/>
    </row>
    <row r="345" spans="1:2" x14ac:dyDescent="0.3">
      <c r="A345" s="33"/>
      <c r="B345" s="37"/>
    </row>
    <row r="346" spans="1:2" x14ac:dyDescent="0.3">
      <c r="A346" s="33"/>
      <c r="B346" s="37"/>
    </row>
    <row r="347" spans="1:2" x14ac:dyDescent="0.3">
      <c r="A347" s="33"/>
      <c r="B347" s="37"/>
    </row>
    <row r="348" spans="1:2" x14ac:dyDescent="0.3">
      <c r="A348" s="33"/>
      <c r="B348" s="37"/>
    </row>
    <row r="349" spans="1:2" x14ac:dyDescent="0.3">
      <c r="A349" s="33"/>
      <c r="B349" s="37"/>
    </row>
    <row r="350" spans="1:2" x14ac:dyDescent="0.3">
      <c r="A350" s="33"/>
      <c r="B350" s="37"/>
    </row>
    <row r="351" spans="1:2" x14ac:dyDescent="0.3">
      <c r="A351" s="33"/>
      <c r="B351" s="37"/>
    </row>
    <row r="352" spans="1:2" x14ac:dyDescent="0.3">
      <c r="A352" s="33"/>
      <c r="B352" s="37"/>
    </row>
    <row r="353" spans="1:2" x14ac:dyDescent="0.3">
      <c r="A353" s="33"/>
      <c r="B353" s="37"/>
    </row>
    <row r="354" spans="1:2" x14ac:dyDescent="0.3">
      <c r="A354" s="33"/>
      <c r="B354" s="37"/>
    </row>
    <row r="355" spans="1:2" x14ac:dyDescent="0.3">
      <c r="A355" s="33"/>
      <c r="B355" s="37"/>
    </row>
    <row r="356" spans="1:2" x14ac:dyDescent="0.3">
      <c r="A356" s="33"/>
      <c r="B356" s="37"/>
    </row>
    <row r="357" spans="1:2" x14ac:dyDescent="0.3">
      <c r="A357" s="33"/>
      <c r="B357" s="37"/>
    </row>
    <row r="358" spans="1:2" x14ac:dyDescent="0.3">
      <c r="A358" s="33"/>
      <c r="B358" s="37"/>
    </row>
    <row r="359" spans="1:2" x14ac:dyDescent="0.3">
      <c r="A359" s="33"/>
      <c r="B359" s="37"/>
    </row>
    <row r="360" spans="1:2" x14ac:dyDescent="0.3">
      <c r="A360" s="33"/>
      <c r="B360" s="37"/>
    </row>
    <row r="361" spans="1:2" x14ac:dyDescent="0.3">
      <c r="A361" s="33"/>
      <c r="B361" s="37"/>
    </row>
    <row r="362" spans="1:2" x14ac:dyDescent="0.3">
      <c r="A362" s="33"/>
      <c r="B362" s="37"/>
    </row>
    <row r="363" spans="1:2" x14ac:dyDescent="0.3">
      <c r="A363" s="33"/>
      <c r="B363" s="37"/>
    </row>
    <row r="364" spans="1:2" x14ac:dyDescent="0.3">
      <c r="A364" s="33"/>
      <c r="B364" s="37"/>
    </row>
    <row r="365" spans="1:2" x14ac:dyDescent="0.3">
      <c r="A365" s="33"/>
      <c r="B365" s="37"/>
    </row>
    <row r="366" spans="1:2" x14ac:dyDescent="0.3">
      <c r="A366" s="33"/>
      <c r="B366" s="37"/>
    </row>
    <row r="367" spans="1:2" x14ac:dyDescent="0.3">
      <c r="A367" s="33"/>
      <c r="B367" s="37"/>
    </row>
    <row r="368" spans="1:2" x14ac:dyDescent="0.3">
      <c r="A368" s="33"/>
      <c r="B368" s="37"/>
    </row>
    <row r="369" spans="1:2" x14ac:dyDescent="0.3">
      <c r="A369" s="33"/>
      <c r="B369" s="37"/>
    </row>
    <row r="370" spans="1:2" x14ac:dyDescent="0.3">
      <c r="A370" s="33"/>
      <c r="B370" s="37"/>
    </row>
    <row r="371" spans="1:2" x14ac:dyDescent="0.3">
      <c r="A371" s="33"/>
      <c r="B371" s="37"/>
    </row>
    <row r="372" spans="1:2" x14ac:dyDescent="0.3">
      <c r="A372" s="33"/>
      <c r="B372" s="37"/>
    </row>
    <row r="373" spans="1:2" x14ac:dyDescent="0.3">
      <c r="A373" s="33"/>
      <c r="B373" s="37"/>
    </row>
    <row r="374" spans="1:2" x14ac:dyDescent="0.3">
      <c r="A374" s="33"/>
      <c r="B374" s="37"/>
    </row>
    <row r="375" spans="1:2" x14ac:dyDescent="0.3">
      <c r="A375" s="33"/>
      <c r="B375" s="37"/>
    </row>
    <row r="376" spans="1:2" x14ac:dyDescent="0.3">
      <c r="A376" s="33"/>
      <c r="B376" s="37"/>
    </row>
    <row r="377" spans="1:2" x14ac:dyDescent="0.3">
      <c r="A377" s="33"/>
      <c r="B377" s="37"/>
    </row>
    <row r="378" spans="1:2" x14ac:dyDescent="0.3">
      <c r="A378" s="33"/>
      <c r="B378" s="37"/>
    </row>
    <row r="379" spans="1:2" x14ac:dyDescent="0.3">
      <c r="A379" s="33"/>
      <c r="B379" s="37"/>
    </row>
    <row r="380" spans="1:2" x14ac:dyDescent="0.3">
      <c r="A380" s="33"/>
      <c r="B380" s="37"/>
    </row>
    <row r="381" spans="1:2" x14ac:dyDescent="0.3">
      <c r="A381" s="33"/>
      <c r="B381" s="37"/>
    </row>
    <row r="382" spans="1:2" x14ac:dyDescent="0.3">
      <c r="A382" s="33"/>
      <c r="B382" s="37"/>
    </row>
    <row r="383" spans="1:2" x14ac:dyDescent="0.3">
      <c r="A383" s="33"/>
      <c r="B383" s="37"/>
    </row>
    <row r="384" spans="1:2" x14ac:dyDescent="0.3">
      <c r="A384" s="33"/>
      <c r="B384" s="37"/>
    </row>
    <row r="385" spans="1:2" x14ac:dyDescent="0.3">
      <c r="A385" s="33"/>
      <c r="B385" s="37"/>
    </row>
    <row r="386" spans="1:2" x14ac:dyDescent="0.3">
      <c r="A386" s="33"/>
      <c r="B386" s="37"/>
    </row>
    <row r="387" spans="1:2" x14ac:dyDescent="0.3">
      <c r="A387" s="33"/>
      <c r="B387" s="37"/>
    </row>
    <row r="388" spans="1:2" x14ac:dyDescent="0.3">
      <c r="A388" s="33"/>
      <c r="B388" s="37"/>
    </row>
    <row r="389" spans="1:2" x14ac:dyDescent="0.3">
      <c r="A389" s="33"/>
      <c r="B389" s="37"/>
    </row>
    <row r="390" spans="1:2" x14ac:dyDescent="0.3">
      <c r="A390" s="33"/>
      <c r="B390" s="37"/>
    </row>
    <row r="391" spans="1:2" x14ac:dyDescent="0.3">
      <c r="A391" s="33"/>
      <c r="B391" s="37"/>
    </row>
    <row r="392" spans="1:2" x14ac:dyDescent="0.3">
      <c r="A392" s="33"/>
      <c r="B392" s="37"/>
    </row>
    <row r="393" spans="1:2" x14ac:dyDescent="0.3">
      <c r="A393" s="33"/>
      <c r="B393" s="37"/>
    </row>
    <row r="394" spans="1:2" x14ac:dyDescent="0.3">
      <c r="A394" s="33"/>
      <c r="B394" s="37"/>
    </row>
    <row r="395" spans="1:2" x14ac:dyDescent="0.3">
      <c r="A395" s="33"/>
      <c r="B395" s="37"/>
    </row>
    <row r="396" spans="1:2" x14ac:dyDescent="0.3">
      <c r="A396" s="33"/>
      <c r="B396" s="37"/>
    </row>
    <row r="397" spans="1:2" x14ac:dyDescent="0.3">
      <c r="A397" s="33"/>
      <c r="B397" s="37"/>
    </row>
    <row r="398" spans="1:2" x14ac:dyDescent="0.3">
      <c r="A398" s="33"/>
      <c r="B398" s="37"/>
    </row>
    <row r="399" spans="1:2" x14ac:dyDescent="0.3">
      <c r="A399" s="33"/>
      <c r="B399" s="37"/>
    </row>
    <row r="400" spans="1:2" x14ac:dyDescent="0.3">
      <c r="A400" s="33"/>
      <c r="B400" s="37"/>
    </row>
    <row r="401" spans="1:2" x14ac:dyDescent="0.3">
      <c r="A401" s="33"/>
      <c r="B401" s="37"/>
    </row>
    <row r="402" spans="1:2" x14ac:dyDescent="0.3">
      <c r="A402" s="33"/>
      <c r="B402" s="37"/>
    </row>
    <row r="403" spans="1:2" x14ac:dyDescent="0.3">
      <c r="A403" s="33"/>
      <c r="B403" s="37"/>
    </row>
    <row r="404" spans="1:2" x14ac:dyDescent="0.3">
      <c r="A404" s="33"/>
      <c r="B404" s="37"/>
    </row>
    <row r="405" spans="1:2" x14ac:dyDescent="0.3">
      <c r="A405" s="33"/>
      <c r="B405" s="37"/>
    </row>
    <row r="406" spans="1:2" x14ac:dyDescent="0.3">
      <c r="A406" s="33"/>
      <c r="B406" s="37"/>
    </row>
    <row r="407" spans="1:2" x14ac:dyDescent="0.3">
      <c r="A407" s="33"/>
      <c r="B407" s="37"/>
    </row>
    <row r="408" spans="1:2" x14ac:dyDescent="0.3">
      <c r="A408" s="33"/>
      <c r="B408" s="37"/>
    </row>
    <row r="409" spans="1:2" x14ac:dyDescent="0.3">
      <c r="A409" s="33"/>
      <c r="B409" s="37"/>
    </row>
    <row r="410" spans="1:2" x14ac:dyDescent="0.3">
      <c r="A410" s="33"/>
      <c r="B410" s="37"/>
    </row>
    <row r="411" spans="1:2" x14ac:dyDescent="0.3">
      <c r="A411" s="33"/>
      <c r="B411" s="37"/>
    </row>
    <row r="412" spans="1:2" x14ac:dyDescent="0.3">
      <c r="A412" s="33"/>
      <c r="B412" s="37"/>
    </row>
    <row r="413" spans="1:2" x14ac:dyDescent="0.3">
      <c r="A413" s="33"/>
      <c r="B413" s="37"/>
    </row>
    <row r="414" spans="1:2" x14ac:dyDescent="0.3">
      <c r="A414" s="33"/>
      <c r="B414" s="37"/>
    </row>
    <row r="415" spans="1:2" x14ac:dyDescent="0.3">
      <c r="A415" s="33"/>
      <c r="B415" s="37"/>
    </row>
    <row r="416" spans="1:2" x14ac:dyDescent="0.3">
      <c r="A416" s="33"/>
      <c r="B416" s="37"/>
    </row>
    <row r="417" spans="1:2" x14ac:dyDescent="0.3">
      <c r="A417" s="33"/>
      <c r="B417" s="37"/>
    </row>
    <row r="418" spans="1:2" x14ac:dyDescent="0.3">
      <c r="A418" s="33"/>
      <c r="B418" s="37"/>
    </row>
    <row r="419" spans="1:2" x14ac:dyDescent="0.3">
      <c r="A419" s="33"/>
      <c r="B419" s="37"/>
    </row>
    <row r="420" spans="1:2" x14ac:dyDescent="0.3">
      <c r="A420" s="33"/>
      <c r="B420" s="37"/>
    </row>
    <row r="421" spans="1:2" x14ac:dyDescent="0.3">
      <c r="A421" s="33"/>
      <c r="B421" s="37"/>
    </row>
    <row r="422" spans="1:2" x14ac:dyDescent="0.3">
      <c r="A422" s="33"/>
    </row>
    <row r="423" spans="1:2" x14ac:dyDescent="0.3">
      <c r="A423" s="33"/>
    </row>
    <row r="424" spans="1:2" x14ac:dyDescent="0.3">
      <c r="A424" s="33"/>
    </row>
    <row r="425" spans="1:2" x14ac:dyDescent="0.3">
      <c r="A425" s="33"/>
    </row>
    <row r="426" spans="1:2" x14ac:dyDescent="0.3">
      <c r="A426" s="33"/>
    </row>
    <row r="427" spans="1:2" x14ac:dyDescent="0.3">
      <c r="A427" s="33"/>
    </row>
    <row r="428" spans="1:2" x14ac:dyDescent="0.3">
      <c r="A428" s="33"/>
    </row>
    <row r="429" spans="1:2" x14ac:dyDescent="0.3">
      <c r="A429" s="33"/>
    </row>
    <row r="430" spans="1:2" x14ac:dyDescent="0.3">
      <c r="A430" s="33"/>
    </row>
    <row r="431" spans="1:2" x14ac:dyDescent="0.3">
      <c r="A431" s="33"/>
    </row>
    <row r="432" spans="1:2" x14ac:dyDescent="0.3">
      <c r="A432" s="33"/>
    </row>
    <row r="433" spans="1:1" x14ac:dyDescent="0.3">
      <c r="A433" s="33"/>
    </row>
    <row r="434" spans="1:1" x14ac:dyDescent="0.3">
      <c r="A434" s="33"/>
    </row>
    <row r="435" spans="1:1" x14ac:dyDescent="0.3">
      <c r="A435" s="33"/>
    </row>
    <row r="436" spans="1:1" x14ac:dyDescent="0.3">
      <c r="A436" s="33"/>
    </row>
    <row r="437" spans="1:1" x14ac:dyDescent="0.3">
      <c r="A437" s="33"/>
    </row>
    <row r="438" spans="1:1" x14ac:dyDescent="0.3">
      <c r="A438" s="33"/>
    </row>
    <row r="439" spans="1:1" x14ac:dyDescent="0.3">
      <c r="A439" s="33"/>
    </row>
    <row r="440" spans="1:1" x14ac:dyDescent="0.3">
      <c r="A440" s="33"/>
    </row>
    <row r="441" spans="1:1" x14ac:dyDescent="0.3">
      <c r="A441" s="33"/>
    </row>
    <row r="442" spans="1:1" x14ac:dyDescent="0.3">
      <c r="A442" s="33"/>
    </row>
    <row r="443" spans="1:1" x14ac:dyDescent="0.3">
      <c r="A443" s="33"/>
    </row>
    <row r="444" spans="1:1" x14ac:dyDescent="0.3">
      <c r="A444" s="33"/>
    </row>
    <row r="445" spans="1:1" x14ac:dyDescent="0.3">
      <c r="A445" s="33"/>
    </row>
    <row r="446" spans="1:1" x14ac:dyDescent="0.3">
      <c r="A446" s="33"/>
    </row>
    <row r="447" spans="1:1" x14ac:dyDescent="0.3">
      <c r="A447" s="33"/>
    </row>
    <row r="448" spans="1:1" x14ac:dyDescent="0.3">
      <c r="A448" s="33"/>
    </row>
    <row r="449" spans="1:1" x14ac:dyDescent="0.3">
      <c r="A449" s="33"/>
    </row>
    <row r="450" spans="1:1" x14ac:dyDescent="0.3">
      <c r="A450" s="33"/>
    </row>
    <row r="451" spans="1:1" x14ac:dyDescent="0.3">
      <c r="A451" s="33"/>
    </row>
    <row r="452" spans="1:1" x14ac:dyDescent="0.3">
      <c r="A452" s="33"/>
    </row>
    <row r="453" spans="1:1" x14ac:dyDescent="0.3">
      <c r="A453" s="33"/>
    </row>
    <row r="454" spans="1:1" x14ac:dyDescent="0.3">
      <c r="A454" s="33"/>
    </row>
    <row r="455" spans="1:1" x14ac:dyDescent="0.3">
      <c r="A455" s="33"/>
    </row>
    <row r="456" spans="1:1" x14ac:dyDescent="0.3">
      <c r="A456" s="33"/>
    </row>
    <row r="457" spans="1:1" x14ac:dyDescent="0.3">
      <c r="A457" s="33"/>
    </row>
    <row r="458" spans="1:1" x14ac:dyDescent="0.3">
      <c r="A458" s="33"/>
    </row>
    <row r="459" spans="1:1" x14ac:dyDescent="0.3">
      <c r="A459" s="33"/>
    </row>
    <row r="460" spans="1:1" x14ac:dyDescent="0.3">
      <c r="A460" s="33"/>
    </row>
    <row r="461" spans="1:1" x14ac:dyDescent="0.3">
      <c r="A461" s="33"/>
    </row>
    <row r="462" spans="1:1" x14ac:dyDescent="0.3">
      <c r="A462" s="33"/>
    </row>
    <row r="463" spans="1:1" x14ac:dyDescent="0.3">
      <c r="A463" s="33"/>
    </row>
    <row r="464" spans="1:1" x14ac:dyDescent="0.3">
      <c r="A464" s="33"/>
    </row>
  </sheetData>
  <autoFilter ref="A1:B1" xr:uid="{00000000-0009-0000-0000-000001000000}">
    <sortState xmlns:xlrd2="http://schemas.microsoft.com/office/spreadsheetml/2017/richdata2" ref="A2:B205">
      <sortCondition ref="B1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D64"/>
  <sheetViews>
    <sheetView workbookViewId="0">
      <selection activeCell="F21" sqref="F21"/>
    </sheetView>
  </sheetViews>
  <sheetFormatPr defaultRowHeight="14.4" x14ac:dyDescent="0.3"/>
  <cols>
    <col min="1" max="1" width="18.44140625" style="42" bestFit="1" customWidth="1"/>
    <col min="2" max="2" width="16.33203125" style="36" bestFit="1" customWidth="1"/>
    <col min="4" max="4" width="10" bestFit="1" customWidth="1"/>
    <col min="13" max="13" width="9" customWidth="1"/>
  </cols>
  <sheetData>
    <row r="1" spans="1:4" x14ac:dyDescent="0.3">
      <c r="A1" s="72" t="s">
        <v>0</v>
      </c>
      <c r="B1" s="72" t="s">
        <v>20</v>
      </c>
    </row>
    <row r="2" spans="1:4" x14ac:dyDescent="0.3">
      <c r="A2" s="38" t="s">
        <v>50</v>
      </c>
      <c r="B2" s="39">
        <v>150863.95000000001</v>
      </c>
      <c r="D2" s="14"/>
    </row>
    <row r="3" spans="1:4" x14ac:dyDescent="0.3">
      <c r="A3" s="38" t="s">
        <v>51</v>
      </c>
      <c r="B3" s="39">
        <v>38374.730000000003</v>
      </c>
      <c r="D3" s="14"/>
    </row>
    <row r="4" spans="1:4" x14ac:dyDescent="0.3">
      <c r="A4" s="38" t="s">
        <v>103</v>
      </c>
      <c r="B4" s="39">
        <v>3248.2</v>
      </c>
      <c r="D4" s="14"/>
    </row>
    <row r="5" spans="1:4" x14ac:dyDescent="0.3">
      <c r="A5" s="38" t="s">
        <v>52</v>
      </c>
      <c r="B5" s="39">
        <v>212509.54</v>
      </c>
      <c r="D5" s="14"/>
    </row>
    <row r="6" spans="1:4" x14ac:dyDescent="0.3">
      <c r="A6" s="38" t="s">
        <v>53</v>
      </c>
      <c r="B6" s="39">
        <v>569440.69999999995</v>
      </c>
      <c r="D6" s="14"/>
    </row>
    <row r="7" spans="1:4" x14ac:dyDescent="0.3">
      <c r="A7" s="38" t="s">
        <v>54</v>
      </c>
      <c r="B7" s="39">
        <v>577496.91</v>
      </c>
      <c r="D7" s="14"/>
    </row>
    <row r="8" spans="1:4" x14ac:dyDescent="0.3">
      <c r="A8" s="38" t="s">
        <v>55</v>
      </c>
      <c r="B8" s="39">
        <v>217402.9</v>
      </c>
      <c r="D8" s="14"/>
    </row>
    <row r="9" spans="1:4" x14ac:dyDescent="0.3">
      <c r="A9" s="38" t="s">
        <v>56</v>
      </c>
      <c r="B9" s="39">
        <v>101910.63</v>
      </c>
      <c r="D9" s="14"/>
    </row>
    <row r="10" spans="1:4" x14ac:dyDescent="0.3">
      <c r="A10" s="38" t="s">
        <v>99</v>
      </c>
      <c r="B10" s="39">
        <v>149087.13</v>
      </c>
      <c r="D10" s="14"/>
    </row>
    <row r="11" spans="1:4" x14ac:dyDescent="0.3">
      <c r="A11" s="38" t="s">
        <v>57</v>
      </c>
      <c r="B11" s="39">
        <v>45516.76</v>
      </c>
      <c r="D11" s="14"/>
    </row>
    <row r="12" spans="1:4" x14ac:dyDescent="0.3">
      <c r="A12" s="38" t="s">
        <v>58</v>
      </c>
      <c r="B12" s="39">
        <v>18771.259999999998</v>
      </c>
      <c r="D12" s="14"/>
    </row>
    <row r="13" spans="1:4" x14ac:dyDescent="0.3">
      <c r="A13" s="38" t="s">
        <v>59</v>
      </c>
      <c r="B13" s="39">
        <v>197.55</v>
      </c>
      <c r="D13" s="14"/>
    </row>
    <row r="14" spans="1:4" x14ac:dyDescent="0.3">
      <c r="A14" s="38" t="s">
        <v>82</v>
      </c>
      <c r="B14" s="39">
        <v>9781.41</v>
      </c>
      <c r="D14" s="14"/>
    </row>
    <row r="15" spans="1:4" x14ac:dyDescent="0.3">
      <c r="A15" s="38" t="s">
        <v>87</v>
      </c>
      <c r="B15" s="39">
        <v>622.20000000000005</v>
      </c>
    </row>
    <row r="16" spans="1:4" x14ac:dyDescent="0.3">
      <c r="A16" s="38" t="s">
        <v>97</v>
      </c>
      <c r="B16" s="39">
        <v>561.6</v>
      </c>
    </row>
    <row r="17" spans="1:2" x14ac:dyDescent="0.3">
      <c r="A17" s="38" t="s">
        <v>100</v>
      </c>
      <c r="B17" s="39">
        <v>116.64</v>
      </c>
    </row>
    <row r="18" spans="1:2" x14ac:dyDescent="0.3">
      <c r="A18" s="38" t="s">
        <v>104</v>
      </c>
      <c r="B18" s="39">
        <v>86.16</v>
      </c>
    </row>
    <row r="19" spans="1:2" x14ac:dyDescent="0.3">
      <c r="A19" s="38" t="s">
        <v>101</v>
      </c>
      <c r="B19" s="39">
        <v>938.03</v>
      </c>
    </row>
    <row r="20" spans="1:2" x14ac:dyDescent="0.3">
      <c r="A20" s="38" t="s">
        <v>102</v>
      </c>
      <c r="B20" s="39">
        <v>3098.37</v>
      </c>
    </row>
    <row r="21" spans="1:2" x14ac:dyDescent="0.3">
      <c r="A21" s="38" t="s">
        <v>60</v>
      </c>
      <c r="B21" s="39">
        <v>26483.53</v>
      </c>
    </row>
    <row r="22" spans="1:2" x14ac:dyDescent="0.3">
      <c r="A22" s="38" t="s">
        <v>61</v>
      </c>
      <c r="B22" s="39">
        <v>134273.71</v>
      </c>
    </row>
    <row r="23" spans="1:2" x14ac:dyDescent="0.3">
      <c r="A23" s="38" t="s">
        <v>62</v>
      </c>
      <c r="B23" s="39">
        <v>73670.33</v>
      </c>
    </row>
    <row r="24" spans="1:2" x14ac:dyDescent="0.3">
      <c r="A24" s="38" t="s">
        <v>63</v>
      </c>
      <c r="B24" s="39">
        <v>93273.86</v>
      </c>
    </row>
    <row r="25" spans="1:2" x14ac:dyDescent="0.3">
      <c r="A25" s="38" t="s">
        <v>64</v>
      </c>
      <c r="B25" s="39">
        <v>36783.15</v>
      </c>
    </row>
    <row r="26" spans="1:2" x14ac:dyDescent="0.3">
      <c r="A26" s="38" t="s">
        <v>65</v>
      </c>
      <c r="B26" s="39">
        <v>137496.01999999999</v>
      </c>
    </row>
    <row r="27" spans="1:2" x14ac:dyDescent="0.3">
      <c r="A27" s="38" t="s">
        <v>66</v>
      </c>
      <c r="B27" s="39">
        <v>57451.31</v>
      </c>
    </row>
    <row r="28" spans="1:2" x14ac:dyDescent="0.3">
      <c r="A28" s="38" t="s">
        <v>67</v>
      </c>
      <c r="B28" s="39">
        <v>12046.37</v>
      </c>
    </row>
    <row r="29" spans="1:2" x14ac:dyDescent="0.3">
      <c r="A29" s="38" t="s">
        <v>80</v>
      </c>
      <c r="B29" s="39">
        <v>24675.71</v>
      </c>
    </row>
    <row r="30" spans="1:2" x14ac:dyDescent="0.3">
      <c r="A30" s="38" t="s">
        <v>68</v>
      </c>
      <c r="B30" s="39">
        <v>41179.449999999997</v>
      </c>
    </row>
    <row r="31" spans="1:2" x14ac:dyDescent="0.3">
      <c r="A31" s="38" t="s">
        <v>69</v>
      </c>
      <c r="B31" s="38">
        <v>52283.86</v>
      </c>
    </row>
    <row r="32" spans="1:2" x14ac:dyDescent="0.3">
      <c r="A32" s="38" t="s">
        <v>70</v>
      </c>
      <c r="B32" s="39">
        <v>3601.28</v>
      </c>
    </row>
    <row r="33" spans="1:2" x14ac:dyDescent="0.3">
      <c r="A33" s="38" t="s">
        <v>71</v>
      </c>
      <c r="B33" s="39">
        <v>9874.75</v>
      </c>
    </row>
    <row r="34" spans="1:2" x14ac:dyDescent="0.3">
      <c r="A34" s="38" t="s">
        <v>72</v>
      </c>
      <c r="B34" s="39">
        <v>62694.43</v>
      </c>
    </row>
    <row r="35" spans="1:2" x14ac:dyDescent="0.3">
      <c r="A35" s="38" t="s">
        <v>98</v>
      </c>
      <c r="B35" s="39">
        <v>91.27</v>
      </c>
    </row>
    <row r="36" spans="1:2" x14ac:dyDescent="0.3">
      <c r="A36" s="38" t="s">
        <v>73</v>
      </c>
      <c r="B36" s="39">
        <v>219064.92</v>
      </c>
    </row>
    <row r="37" spans="1:2" x14ac:dyDescent="0.3">
      <c r="A37" s="38" t="s">
        <v>74</v>
      </c>
      <c r="B37" s="39">
        <v>192673.35</v>
      </c>
    </row>
    <row r="38" spans="1:2" x14ac:dyDescent="0.3">
      <c r="A38" s="38" t="s">
        <v>75</v>
      </c>
      <c r="B38" s="38">
        <v>44178.61</v>
      </c>
    </row>
    <row r="39" spans="1:2" x14ac:dyDescent="0.3">
      <c r="A39" s="38" t="s">
        <v>76</v>
      </c>
      <c r="B39" s="38">
        <v>29002.23</v>
      </c>
    </row>
    <row r="40" spans="1:2" x14ac:dyDescent="0.3">
      <c r="A40" s="38" t="s">
        <v>77</v>
      </c>
      <c r="B40" s="38">
        <v>1678.77</v>
      </c>
    </row>
    <row r="41" spans="1:2" x14ac:dyDescent="0.3">
      <c r="A41" s="38" t="s">
        <v>81</v>
      </c>
      <c r="B41" s="38">
        <v>19856.66</v>
      </c>
    </row>
    <row r="42" spans="1:2" x14ac:dyDescent="0.3">
      <c r="A42" s="38" t="s">
        <v>96</v>
      </c>
      <c r="B42" s="38">
        <v>893.4</v>
      </c>
    </row>
    <row r="43" spans="1:2" x14ac:dyDescent="0.3">
      <c r="A43" s="38" t="s">
        <v>94</v>
      </c>
      <c r="B43" s="38">
        <v>5876.67</v>
      </c>
    </row>
    <row r="44" spans="1:2" x14ac:dyDescent="0.3">
      <c r="A44" s="38" t="s">
        <v>79</v>
      </c>
      <c r="B44" s="38">
        <v>6578.56</v>
      </c>
    </row>
    <row r="45" spans="1:2" x14ac:dyDescent="0.3">
      <c r="A45" s="38" t="s">
        <v>78</v>
      </c>
      <c r="B45" s="38">
        <v>7640.52</v>
      </c>
    </row>
    <row r="46" spans="1:2" x14ac:dyDescent="0.3">
      <c r="A46" s="38" t="s">
        <v>90</v>
      </c>
      <c r="B46" s="38">
        <v>8087.83</v>
      </c>
    </row>
    <row r="47" spans="1:2" x14ac:dyDescent="0.3">
      <c r="A47" s="38" t="s">
        <v>91</v>
      </c>
      <c r="B47" s="38">
        <v>12630.16</v>
      </c>
    </row>
    <row r="48" spans="1:2" x14ac:dyDescent="0.3">
      <c r="A48" s="38" t="s">
        <v>92</v>
      </c>
      <c r="B48" s="38">
        <v>11803.82</v>
      </c>
    </row>
    <row r="49" spans="1:2" x14ac:dyDescent="0.3">
      <c r="A49" s="38" t="s">
        <v>83</v>
      </c>
      <c r="B49" s="39">
        <v>19895.98</v>
      </c>
    </row>
    <row r="50" spans="1:2" x14ac:dyDescent="0.3">
      <c r="A50" s="38" t="s">
        <v>84</v>
      </c>
      <c r="B50" s="38">
        <v>63037.61</v>
      </c>
    </row>
    <row r="51" spans="1:2" x14ac:dyDescent="0.3">
      <c r="A51" s="38" t="s">
        <v>85</v>
      </c>
      <c r="B51" s="38">
        <v>110842.03</v>
      </c>
    </row>
    <row r="52" spans="1:2" x14ac:dyDescent="0.3">
      <c r="A52" s="38" t="s">
        <v>86</v>
      </c>
      <c r="B52" s="38">
        <v>35611.57</v>
      </c>
    </row>
    <row r="53" spans="1:2" x14ac:dyDescent="0.3">
      <c r="A53" s="41" t="s">
        <v>89</v>
      </c>
      <c r="B53" s="38">
        <v>11666.34</v>
      </c>
    </row>
    <row r="54" spans="1:2" x14ac:dyDescent="0.3">
      <c r="A54" s="41" t="s">
        <v>88</v>
      </c>
      <c r="B54" s="38">
        <v>9356.84</v>
      </c>
    </row>
    <row r="55" spans="1:2" x14ac:dyDescent="0.3">
      <c r="A55" s="41" t="s">
        <v>95</v>
      </c>
      <c r="B55" s="38">
        <v>27933.3</v>
      </c>
    </row>
    <row r="56" spans="1:2" x14ac:dyDescent="0.3">
      <c r="A56" s="41" t="s">
        <v>93</v>
      </c>
      <c r="B56" s="39">
        <v>1030.74</v>
      </c>
    </row>
    <row r="57" spans="1:2" x14ac:dyDescent="0.3">
      <c r="A57" s="41"/>
      <c r="B57" s="39"/>
    </row>
    <row r="58" spans="1:2" x14ac:dyDescent="0.3">
      <c r="A58" s="41"/>
      <c r="B58" s="39"/>
    </row>
    <row r="59" spans="1:2" x14ac:dyDescent="0.3">
      <c r="A59" s="41"/>
      <c r="B59" s="38"/>
    </row>
    <row r="60" spans="1:2" x14ac:dyDescent="0.3">
      <c r="A60" s="41"/>
      <c r="B60" s="38"/>
    </row>
    <row r="61" spans="1:2" x14ac:dyDescent="0.3">
      <c r="A61" s="41"/>
      <c r="B61" s="38"/>
    </row>
    <row r="62" spans="1:2" x14ac:dyDescent="0.3">
      <c r="B62" s="38"/>
    </row>
    <row r="63" spans="1:2" x14ac:dyDescent="0.3">
      <c r="B63" s="38"/>
    </row>
    <row r="64" spans="1:2" x14ac:dyDescent="0.3">
      <c r="B64" s="3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217F4-BD48-4826-8B02-CAAF3127F63F}">
  <dimension ref="B2:N13"/>
  <sheetViews>
    <sheetView showGridLines="0" workbookViewId="0">
      <selection activeCell="N5" sqref="N5"/>
    </sheetView>
  </sheetViews>
  <sheetFormatPr defaultRowHeight="14.4" x14ac:dyDescent="0.3"/>
  <cols>
    <col min="2" max="2" width="57.6640625" bestFit="1" customWidth="1"/>
    <col min="3" max="11" width="0" hidden="1" customWidth="1"/>
    <col min="12" max="14" width="10.33203125" bestFit="1" customWidth="1"/>
  </cols>
  <sheetData>
    <row r="2" spans="2:14" x14ac:dyDescent="0.3">
      <c r="B2" s="46" t="s">
        <v>24</v>
      </c>
      <c r="C2" s="47">
        <v>44197</v>
      </c>
      <c r="D2" s="47">
        <v>44228</v>
      </c>
      <c r="E2" s="47">
        <v>44256</v>
      </c>
      <c r="F2" s="47">
        <v>44287</v>
      </c>
      <c r="G2" s="47">
        <v>44317</v>
      </c>
      <c r="H2" s="47">
        <v>44348</v>
      </c>
      <c r="I2" s="47">
        <v>44378</v>
      </c>
      <c r="J2" s="47">
        <v>44409</v>
      </c>
      <c r="K2" s="47">
        <v>44440</v>
      </c>
      <c r="L2" s="47">
        <v>44562</v>
      </c>
      <c r="M2" s="47">
        <v>44593</v>
      </c>
      <c r="N2" s="47">
        <v>44621</v>
      </c>
    </row>
    <row r="3" spans="2:14" x14ac:dyDescent="0.3">
      <c r="B3" s="48" t="s">
        <v>48</v>
      </c>
      <c r="C3" s="49"/>
      <c r="D3" s="49"/>
      <c r="E3" s="49"/>
      <c r="F3" s="49"/>
      <c r="G3" s="49"/>
      <c r="H3" s="49"/>
      <c r="I3" s="49"/>
      <c r="J3" s="49"/>
      <c r="K3" s="49"/>
      <c r="L3" s="50">
        <v>2200</v>
      </c>
      <c r="M3" s="50">
        <v>2200</v>
      </c>
      <c r="N3" s="50">
        <v>2200</v>
      </c>
    </row>
    <row r="4" spans="2:14" x14ac:dyDescent="0.3">
      <c r="B4" s="48" t="s">
        <v>25</v>
      </c>
      <c r="C4" s="49"/>
      <c r="D4" s="49"/>
      <c r="E4" s="49"/>
      <c r="F4" s="49"/>
      <c r="G4" s="49"/>
      <c r="H4" s="49"/>
      <c r="I4" s="49"/>
      <c r="J4" s="49"/>
      <c r="K4" s="49"/>
      <c r="L4" s="50">
        <v>13500</v>
      </c>
      <c r="M4" s="50">
        <v>13500</v>
      </c>
      <c r="N4" s="50">
        <v>13500</v>
      </c>
    </row>
    <row r="5" spans="2:14" x14ac:dyDescent="0.3">
      <c r="B5" s="48" t="s">
        <v>26</v>
      </c>
      <c r="C5" s="49"/>
      <c r="D5" s="49"/>
      <c r="E5" s="49"/>
      <c r="F5" s="49"/>
      <c r="G5" s="49"/>
      <c r="H5" s="49"/>
      <c r="I5" s="49"/>
      <c r="J5" s="49"/>
      <c r="K5" s="49"/>
      <c r="L5" s="50"/>
      <c r="M5" s="50"/>
      <c r="N5" s="50"/>
    </row>
    <row r="6" spans="2:14" x14ac:dyDescent="0.3">
      <c r="B6" s="48" t="s">
        <v>27</v>
      </c>
      <c r="C6" s="49"/>
      <c r="D6" s="49"/>
      <c r="E6" s="49"/>
      <c r="F6" s="49"/>
      <c r="G6" s="49"/>
      <c r="H6" s="49"/>
      <c r="I6" s="49"/>
      <c r="J6" s="49"/>
      <c r="K6" s="49"/>
      <c r="L6" s="50"/>
      <c r="M6" s="50">
        <v>19623.099999999999</v>
      </c>
      <c r="N6" s="50">
        <v>19623.099999999999</v>
      </c>
    </row>
    <row r="7" spans="2:14" x14ac:dyDescent="0.3">
      <c r="B7" s="48" t="s">
        <v>28</v>
      </c>
      <c r="C7" s="49"/>
      <c r="D7" s="49"/>
      <c r="E7" s="49"/>
      <c r="F7" s="49"/>
      <c r="G7" s="49"/>
      <c r="H7" s="49"/>
      <c r="I7" s="49"/>
      <c r="J7" s="49"/>
      <c r="K7" s="49"/>
      <c r="L7" s="50"/>
      <c r="M7" s="50"/>
      <c r="N7" s="50"/>
    </row>
    <row r="8" spans="2:14" x14ac:dyDescent="0.3">
      <c r="B8" s="48" t="s">
        <v>29</v>
      </c>
      <c r="C8" s="49"/>
      <c r="D8" s="49"/>
      <c r="E8" s="49"/>
      <c r="F8" s="49"/>
      <c r="G8" s="49"/>
      <c r="H8" s="49"/>
      <c r="I8" s="49"/>
      <c r="J8" s="49"/>
      <c r="K8" s="49"/>
      <c r="L8" s="50">
        <v>495</v>
      </c>
      <c r="M8" s="50">
        <v>495</v>
      </c>
      <c r="N8" s="50">
        <v>495</v>
      </c>
    </row>
    <row r="9" spans="2:14" x14ac:dyDescent="0.3">
      <c r="B9" s="48" t="s">
        <v>30</v>
      </c>
      <c r="C9" s="49"/>
      <c r="D9" s="49"/>
      <c r="E9" s="49"/>
      <c r="F9" s="49"/>
      <c r="G9" s="49"/>
      <c r="H9" s="49"/>
      <c r="I9" s="49"/>
      <c r="J9" s="49"/>
      <c r="K9" s="49"/>
      <c r="L9" s="50"/>
      <c r="M9" s="50"/>
      <c r="N9" s="50">
        <v>14700</v>
      </c>
    </row>
    <row r="10" spans="2:14" x14ac:dyDescent="0.3">
      <c r="B10" s="48" t="s">
        <v>31</v>
      </c>
      <c r="C10" s="49"/>
      <c r="D10" s="49"/>
      <c r="E10" s="49"/>
      <c r="F10" s="49"/>
      <c r="G10" s="49"/>
      <c r="H10" s="49"/>
      <c r="I10" s="49"/>
      <c r="J10" s="49"/>
      <c r="K10" s="49"/>
      <c r="L10" s="50"/>
      <c r="M10" s="50"/>
      <c r="N10" s="50"/>
    </row>
    <row r="11" spans="2:14" x14ac:dyDescent="0.3">
      <c r="B11" s="48" t="s">
        <v>32</v>
      </c>
      <c r="C11" s="49"/>
      <c r="D11" s="49"/>
      <c r="E11" s="49"/>
      <c r="F11" s="49"/>
      <c r="G11" s="49"/>
      <c r="H11" s="49"/>
      <c r="I11" s="49"/>
      <c r="J11" s="49"/>
      <c r="K11" s="49"/>
      <c r="L11" s="50">
        <v>5000</v>
      </c>
      <c r="M11" s="50">
        <v>5000</v>
      </c>
      <c r="N11" s="50">
        <v>5000</v>
      </c>
    </row>
    <row r="12" spans="2:14" x14ac:dyDescent="0.3">
      <c r="B12" s="48" t="s">
        <v>33</v>
      </c>
      <c r="C12" s="49"/>
      <c r="D12" s="49"/>
      <c r="E12" s="49"/>
      <c r="F12" s="49"/>
      <c r="G12" s="49"/>
      <c r="H12" s="49"/>
      <c r="I12" s="49"/>
      <c r="J12" s="49"/>
      <c r="K12" s="49"/>
      <c r="L12" s="50"/>
      <c r="M12" s="50"/>
      <c r="N12" s="50"/>
    </row>
    <row r="13" spans="2:14" x14ac:dyDescent="0.3">
      <c r="B13" s="48" t="s">
        <v>34</v>
      </c>
      <c r="C13" s="49"/>
      <c r="D13" s="49"/>
      <c r="E13" s="49"/>
      <c r="F13" s="49"/>
      <c r="G13" s="49"/>
      <c r="H13" s="49"/>
      <c r="I13" s="49"/>
      <c r="J13" s="49"/>
      <c r="K13" s="49"/>
      <c r="L13" s="50"/>
      <c r="M13" s="50"/>
      <c r="N13" s="50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34631-E121-4859-8F17-42D9650E6550}">
  <dimension ref="B2:C15"/>
  <sheetViews>
    <sheetView showGridLines="0" workbookViewId="0">
      <selection activeCell="J29" sqref="J29"/>
    </sheetView>
  </sheetViews>
  <sheetFormatPr defaultRowHeight="14.4" x14ac:dyDescent="0.3"/>
  <cols>
    <col min="2" max="2" width="29.33203125" bestFit="1" customWidth="1"/>
    <col min="3" max="3" width="19.6640625" bestFit="1" customWidth="1"/>
  </cols>
  <sheetData>
    <row r="2" spans="2:3" x14ac:dyDescent="0.3">
      <c r="B2" s="51" t="s">
        <v>35</v>
      </c>
      <c r="C2" s="52">
        <f ca="1">TODAY()</f>
        <v>44564</v>
      </c>
    </row>
    <row r="3" spans="2:3" x14ac:dyDescent="0.3">
      <c r="B3" s="53" t="s">
        <v>36</v>
      </c>
      <c r="C3" s="54"/>
    </row>
    <row r="4" spans="2:3" x14ac:dyDescent="0.3">
      <c r="B4" s="55"/>
      <c r="C4" s="55"/>
    </row>
    <row r="5" spans="2:3" x14ac:dyDescent="0.3">
      <c r="B5" s="56" t="s">
        <v>37</v>
      </c>
      <c r="C5" s="57"/>
    </row>
    <row r="6" spans="2:3" x14ac:dyDescent="0.3">
      <c r="B6" s="55" t="s">
        <v>38</v>
      </c>
      <c r="C6" s="58">
        <v>44468</v>
      </c>
    </row>
    <row r="7" spans="2:3" x14ac:dyDescent="0.3">
      <c r="B7" s="55" t="s">
        <v>39</v>
      </c>
      <c r="C7" s="58">
        <v>44650</v>
      </c>
    </row>
    <row r="8" spans="2:3" x14ac:dyDescent="0.3">
      <c r="B8" s="55" t="s">
        <v>40</v>
      </c>
      <c r="C8" s="59">
        <f>NETWORKDAYS(C6,C7,Feriados!A:A)-1</f>
        <v>125</v>
      </c>
    </row>
    <row r="9" spans="2:3" x14ac:dyDescent="0.3">
      <c r="B9" s="55" t="s">
        <v>41</v>
      </c>
      <c r="C9" s="60">
        <v>1000</v>
      </c>
    </row>
    <row r="10" spans="2:3" x14ac:dyDescent="0.3">
      <c r="B10" s="55" t="s">
        <v>42</v>
      </c>
      <c r="C10" s="60">
        <v>0</v>
      </c>
    </row>
    <row r="11" spans="2:3" x14ac:dyDescent="0.3">
      <c r="B11" s="55" t="s">
        <v>43</v>
      </c>
      <c r="C11" s="61">
        <f>(((1+C13)^(C8/252))-1)*C9</f>
        <v>46.79884480094421</v>
      </c>
    </row>
    <row r="12" spans="2:3" x14ac:dyDescent="0.3">
      <c r="B12" s="62" t="s">
        <v>44</v>
      </c>
      <c r="C12" s="63">
        <v>0</v>
      </c>
    </row>
    <row r="13" spans="2:3" x14ac:dyDescent="0.3">
      <c r="B13" s="62" t="s">
        <v>45</v>
      </c>
      <c r="C13" s="64">
        <v>9.6589999999999995E-2</v>
      </c>
    </row>
    <row r="14" spans="2:3" x14ac:dyDescent="0.3">
      <c r="B14" s="55"/>
      <c r="C14" s="65"/>
    </row>
    <row r="15" spans="2:3" x14ac:dyDescent="0.3">
      <c r="B15" s="66" t="s">
        <v>46</v>
      </c>
      <c r="C15" s="66">
        <f>(C11+C10)*750000</f>
        <v>35099133.600708157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C4067-894C-4E14-8837-F18B95C5E829}">
  <dimension ref="A1:A325"/>
  <sheetViews>
    <sheetView topLeftCell="A286" workbookViewId="0">
      <selection activeCell="K23" sqref="K23"/>
    </sheetView>
  </sheetViews>
  <sheetFormatPr defaultRowHeight="14.4" x14ac:dyDescent="0.3"/>
  <cols>
    <col min="1" max="1" width="10.109375" style="38" bestFit="1" customWidth="1"/>
  </cols>
  <sheetData>
    <row r="1" spans="1:1" x14ac:dyDescent="0.3">
      <c r="A1" s="67">
        <v>37257</v>
      </c>
    </row>
    <row r="2" spans="1:1" x14ac:dyDescent="0.3">
      <c r="A2" s="67">
        <v>37298</v>
      </c>
    </row>
    <row r="3" spans="1:1" x14ac:dyDescent="0.3">
      <c r="A3" s="67">
        <v>37299</v>
      </c>
    </row>
    <row r="4" spans="1:1" x14ac:dyDescent="0.3">
      <c r="A4" s="67">
        <v>37344</v>
      </c>
    </row>
    <row r="5" spans="1:1" x14ac:dyDescent="0.3">
      <c r="A5" s="67">
        <v>37367</v>
      </c>
    </row>
    <row r="6" spans="1:1" x14ac:dyDescent="0.3">
      <c r="A6" s="67">
        <v>37377</v>
      </c>
    </row>
    <row r="7" spans="1:1" x14ac:dyDescent="0.3">
      <c r="A7" s="67">
        <v>37406</v>
      </c>
    </row>
    <row r="8" spans="1:1" x14ac:dyDescent="0.3">
      <c r="A8" s="67">
        <v>37506</v>
      </c>
    </row>
    <row r="9" spans="1:1" x14ac:dyDescent="0.3">
      <c r="A9" s="67">
        <v>37541</v>
      </c>
    </row>
    <row r="10" spans="1:1" x14ac:dyDescent="0.3">
      <c r="A10" s="67">
        <v>37562</v>
      </c>
    </row>
    <row r="11" spans="1:1" x14ac:dyDescent="0.3">
      <c r="A11" s="67">
        <v>37575</v>
      </c>
    </row>
    <row r="12" spans="1:1" x14ac:dyDescent="0.3">
      <c r="A12" s="67">
        <v>37615</v>
      </c>
    </row>
    <row r="13" spans="1:1" x14ac:dyDescent="0.3">
      <c r="A13" s="68"/>
    </row>
    <row r="14" spans="1:1" x14ac:dyDescent="0.3">
      <c r="A14" s="67">
        <v>37622</v>
      </c>
    </row>
    <row r="15" spans="1:1" x14ac:dyDescent="0.3">
      <c r="A15" s="67">
        <v>37683</v>
      </c>
    </row>
    <row r="16" spans="1:1" x14ac:dyDescent="0.3">
      <c r="A16" s="67">
        <v>37684</v>
      </c>
    </row>
    <row r="17" spans="1:1" x14ac:dyDescent="0.3">
      <c r="A17" s="67">
        <v>37729</v>
      </c>
    </row>
    <row r="18" spans="1:1" x14ac:dyDescent="0.3">
      <c r="A18" s="67">
        <v>37732</v>
      </c>
    </row>
    <row r="19" spans="1:1" x14ac:dyDescent="0.3">
      <c r="A19" s="67">
        <v>37742</v>
      </c>
    </row>
    <row r="20" spans="1:1" x14ac:dyDescent="0.3">
      <c r="A20" s="67">
        <v>37791</v>
      </c>
    </row>
    <row r="21" spans="1:1" x14ac:dyDescent="0.3">
      <c r="A21" s="67">
        <v>37871</v>
      </c>
    </row>
    <row r="22" spans="1:1" x14ac:dyDescent="0.3">
      <c r="A22" s="67">
        <v>37906</v>
      </c>
    </row>
    <row r="23" spans="1:1" x14ac:dyDescent="0.3">
      <c r="A23" s="67">
        <v>37927</v>
      </c>
    </row>
    <row r="24" spans="1:1" x14ac:dyDescent="0.3">
      <c r="A24" s="67">
        <v>37940</v>
      </c>
    </row>
    <row r="25" spans="1:1" x14ac:dyDescent="0.3">
      <c r="A25" s="69">
        <v>37980</v>
      </c>
    </row>
    <row r="26" spans="1:1" x14ac:dyDescent="0.3">
      <c r="A26" s="70"/>
    </row>
    <row r="27" spans="1:1" x14ac:dyDescent="0.3">
      <c r="A27" s="71">
        <v>37987</v>
      </c>
    </row>
    <row r="28" spans="1:1" x14ac:dyDescent="0.3">
      <c r="A28" s="67">
        <v>38040</v>
      </c>
    </row>
    <row r="29" spans="1:1" x14ac:dyDescent="0.3">
      <c r="A29" s="67">
        <v>38041</v>
      </c>
    </row>
    <row r="30" spans="1:1" x14ac:dyDescent="0.3">
      <c r="A30" s="67">
        <v>38086</v>
      </c>
    </row>
    <row r="31" spans="1:1" x14ac:dyDescent="0.3">
      <c r="A31" s="67">
        <v>38098</v>
      </c>
    </row>
    <row r="32" spans="1:1" x14ac:dyDescent="0.3">
      <c r="A32" s="67">
        <v>38108</v>
      </c>
    </row>
    <row r="33" spans="1:1" x14ac:dyDescent="0.3">
      <c r="A33" s="67">
        <v>38148</v>
      </c>
    </row>
    <row r="34" spans="1:1" x14ac:dyDescent="0.3">
      <c r="A34" s="67">
        <v>38237</v>
      </c>
    </row>
    <row r="35" spans="1:1" x14ac:dyDescent="0.3">
      <c r="A35" s="67">
        <v>38272</v>
      </c>
    </row>
    <row r="36" spans="1:1" x14ac:dyDescent="0.3">
      <c r="A36" s="67">
        <v>38293</v>
      </c>
    </row>
    <row r="37" spans="1:1" x14ac:dyDescent="0.3">
      <c r="A37" s="67">
        <v>38306</v>
      </c>
    </row>
    <row r="38" spans="1:1" x14ac:dyDescent="0.3">
      <c r="A38" s="69">
        <v>38346</v>
      </c>
    </row>
    <row r="39" spans="1:1" x14ac:dyDescent="0.3">
      <c r="A39" s="70"/>
    </row>
    <row r="40" spans="1:1" x14ac:dyDescent="0.3">
      <c r="A40" s="71">
        <v>38353</v>
      </c>
    </row>
    <row r="41" spans="1:1" x14ac:dyDescent="0.3">
      <c r="A41" s="67">
        <v>38390</v>
      </c>
    </row>
    <row r="42" spans="1:1" x14ac:dyDescent="0.3">
      <c r="A42" s="67">
        <v>38391</v>
      </c>
    </row>
    <row r="43" spans="1:1" x14ac:dyDescent="0.3">
      <c r="A43" s="67">
        <v>38436</v>
      </c>
    </row>
    <row r="44" spans="1:1" x14ac:dyDescent="0.3">
      <c r="A44" s="67">
        <v>38463</v>
      </c>
    </row>
    <row r="45" spans="1:1" x14ac:dyDescent="0.3">
      <c r="A45" s="67">
        <v>38473</v>
      </c>
    </row>
    <row r="46" spans="1:1" x14ac:dyDescent="0.3">
      <c r="A46" s="67">
        <v>38498</v>
      </c>
    </row>
    <row r="47" spans="1:1" x14ac:dyDescent="0.3">
      <c r="A47" s="67">
        <v>38602</v>
      </c>
    </row>
    <row r="48" spans="1:1" x14ac:dyDescent="0.3">
      <c r="A48" s="67">
        <v>38637</v>
      </c>
    </row>
    <row r="49" spans="1:1" x14ac:dyDescent="0.3">
      <c r="A49" s="67">
        <v>38658</v>
      </c>
    </row>
    <row r="50" spans="1:1" x14ac:dyDescent="0.3">
      <c r="A50" s="67">
        <v>38671</v>
      </c>
    </row>
    <row r="51" spans="1:1" x14ac:dyDescent="0.3">
      <c r="A51" s="69">
        <v>38711</v>
      </c>
    </row>
    <row r="52" spans="1:1" x14ac:dyDescent="0.3">
      <c r="A52" s="70"/>
    </row>
    <row r="53" spans="1:1" x14ac:dyDescent="0.3">
      <c r="A53" s="71">
        <v>38718</v>
      </c>
    </row>
    <row r="54" spans="1:1" x14ac:dyDescent="0.3">
      <c r="A54" s="67">
        <v>38775</v>
      </c>
    </row>
    <row r="55" spans="1:1" x14ac:dyDescent="0.3">
      <c r="A55" s="67">
        <v>38776</v>
      </c>
    </row>
    <row r="56" spans="1:1" x14ac:dyDescent="0.3">
      <c r="A56" s="67">
        <v>38821</v>
      </c>
    </row>
    <row r="57" spans="1:1" x14ac:dyDescent="0.3">
      <c r="A57" s="67">
        <v>38828</v>
      </c>
    </row>
    <row r="58" spans="1:1" x14ac:dyDescent="0.3">
      <c r="A58" s="67">
        <v>38838</v>
      </c>
    </row>
    <row r="59" spans="1:1" x14ac:dyDescent="0.3">
      <c r="A59" s="67">
        <v>38883</v>
      </c>
    </row>
    <row r="60" spans="1:1" x14ac:dyDescent="0.3">
      <c r="A60" s="67">
        <v>38967</v>
      </c>
    </row>
    <row r="61" spans="1:1" x14ac:dyDescent="0.3">
      <c r="A61" s="67">
        <v>39002</v>
      </c>
    </row>
    <row r="62" spans="1:1" x14ac:dyDescent="0.3">
      <c r="A62" s="67">
        <v>39023</v>
      </c>
    </row>
    <row r="63" spans="1:1" x14ac:dyDescent="0.3">
      <c r="A63" s="67">
        <v>39036</v>
      </c>
    </row>
    <row r="64" spans="1:1" x14ac:dyDescent="0.3">
      <c r="A64" s="69">
        <v>39076</v>
      </c>
    </row>
    <row r="65" spans="1:1" x14ac:dyDescent="0.3">
      <c r="A65" s="70"/>
    </row>
    <row r="66" spans="1:1" x14ac:dyDescent="0.3">
      <c r="A66" s="71">
        <v>39083</v>
      </c>
    </row>
    <row r="67" spans="1:1" x14ac:dyDescent="0.3">
      <c r="A67" s="67">
        <v>39132</v>
      </c>
    </row>
    <row r="68" spans="1:1" x14ac:dyDescent="0.3">
      <c r="A68" s="67">
        <v>39133</v>
      </c>
    </row>
    <row r="69" spans="1:1" x14ac:dyDescent="0.3">
      <c r="A69" s="67">
        <v>39178</v>
      </c>
    </row>
    <row r="70" spans="1:1" x14ac:dyDescent="0.3">
      <c r="A70" s="67">
        <v>39193</v>
      </c>
    </row>
    <row r="71" spans="1:1" x14ac:dyDescent="0.3">
      <c r="A71" s="67">
        <v>39203</v>
      </c>
    </row>
    <row r="72" spans="1:1" x14ac:dyDescent="0.3">
      <c r="A72" s="67">
        <v>39240</v>
      </c>
    </row>
    <row r="73" spans="1:1" x14ac:dyDescent="0.3">
      <c r="A73" s="67">
        <v>39332</v>
      </c>
    </row>
    <row r="74" spans="1:1" x14ac:dyDescent="0.3">
      <c r="A74" s="67">
        <v>39367</v>
      </c>
    </row>
    <row r="75" spans="1:1" x14ac:dyDescent="0.3">
      <c r="A75" s="67">
        <v>39388</v>
      </c>
    </row>
    <row r="76" spans="1:1" x14ac:dyDescent="0.3">
      <c r="A76" s="67">
        <v>39401</v>
      </c>
    </row>
    <row r="77" spans="1:1" x14ac:dyDescent="0.3">
      <c r="A77" s="69">
        <v>39441</v>
      </c>
    </row>
    <row r="78" spans="1:1" x14ac:dyDescent="0.3">
      <c r="A78" s="70"/>
    </row>
    <row r="79" spans="1:1" x14ac:dyDescent="0.3">
      <c r="A79" s="71">
        <v>39448</v>
      </c>
    </row>
    <row r="80" spans="1:1" x14ac:dyDescent="0.3">
      <c r="A80" s="67">
        <v>39482</v>
      </c>
    </row>
    <row r="81" spans="1:1" x14ac:dyDescent="0.3">
      <c r="A81" s="67">
        <v>39483</v>
      </c>
    </row>
    <row r="82" spans="1:1" x14ac:dyDescent="0.3">
      <c r="A82" s="67">
        <v>39528</v>
      </c>
    </row>
    <row r="83" spans="1:1" x14ac:dyDescent="0.3">
      <c r="A83" s="67">
        <v>39559</v>
      </c>
    </row>
    <row r="84" spans="1:1" x14ac:dyDescent="0.3">
      <c r="A84" s="67">
        <v>39569</v>
      </c>
    </row>
    <row r="85" spans="1:1" x14ac:dyDescent="0.3">
      <c r="A85" s="67">
        <v>39590</v>
      </c>
    </row>
    <row r="86" spans="1:1" x14ac:dyDescent="0.3">
      <c r="A86" s="67">
        <v>39698</v>
      </c>
    </row>
    <row r="87" spans="1:1" x14ac:dyDescent="0.3">
      <c r="A87" s="67">
        <v>39733</v>
      </c>
    </row>
    <row r="88" spans="1:1" x14ac:dyDescent="0.3">
      <c r="A88" s="67">
        <v>39754</v>
      </c>
    </row>
    <row r="89" spans="1:1" x14ac:dyDescent="0.3">
      <c r="A89" s="67">
        <v>39767</v>
      </c>
    </row>
    <row r="90" spans="1:1" x14ac:dyDescent="0.3">
      <c r="A90" s="69">
        <v>39807</v>
      </c>
    </row>
    <row r="91" spans="1:1" x14ac:dyDescent="0.3">
      <c r="A91" s="70"/>
    </row>
    <row r="92" spans="1:1" x14ac:dyDescent="0.3">
      <c r="A92" s="71">
        <v>39814</v>
      </c>
    </row>
    <row r="93" spans="1:1" x14ac:dyDescent="0.3">
      <c r="A93" s="67">
        <v>39867</v>
      </c>
    </row>
    <row r="94" spans="1:1" x14ac:dyDescent="0.3">
      <c r="A94" s="67">
        <v>39868</v>
      </c>
    </row>
    <row r="95" spans="1:1" x14ac:dyDescent="0.3">
      <c r="A95" s="67">
        <v>39913</v>
      </c>
    </row>
    <row r="96" spans="1:1" x14ac:dyDescent="0.3">
      <c r="A96" s="67">
        <v>39924</v>
      </c>
    </row>
    <row r="97" spans="1:1" x14ac:dyDescent="0.3">
      <c r="A97" s="67">
        <v>39934</v>
      </c>
    </row>
    <row r="98" spans="1:1" x14ac:dyDescent="0.3">
      <c r="A98" s="67">
        <v>39975</v>
      </c>
    </row>
    <row r="99" spans="1:1" x14ac:dyDescent="0.3">
      <c r="A99" s="67">
        <v>40063</v>
      </c>
    </row>
    <row r="100" spans="1:1" x14ac:dyDescent="0.3">
      <c r="A100" s="67">
        <v>40098</v>
      </c>
    </row>
    <row r="101" spans="1:1" x14ac:dyDescent="0.3">
      <c r="A101" s="67">
        <v>40119</v>
      </c>
    </row>
    <row r="102" spans="1:1" x14ac:dyDescent="0.3">
      <c r="A102" s="67">
        <v>40132</v>
      </c>
    </row>
    <row r="103" spans="1:1" x14ac:dyDescent="0.3">
      <c r="A103" s="69">
        <v>40172</v>
      </c>
    </row>
    <row r="104" spans="1:1" x14ac:dyDescent="0.3">
      <c r="A104" s="70"/>
    </row>
    <row r="105" spans="1:1" x14ac:dyDescent="0.3">
      <c r="A105" s="71">
        <v>40179</v>
      </c>
    </row>
    <row r="106" spans="1:1" x14ac:dyDescent="0.3">
      <c r="A106" s="67">
        <v>40224</v>
      </c>
    </row>
    <row r="107" spans="1:1" x14ac:dyDescent="0.3">
      <c r="A107" s="67">
        <v>40225</v>
      </c>
    </row>
    <row r="108" spans="1:1" x14ac:dyDescent="0.3">
      <c r="A108" s="67">
        <v>40270</v>
      </c>
    </row>
    <row r="109" spans="1:1" x14ac:dyDescent="0.3">
      <c r="A109" s="67">
        <v>40289</v>
      </c>
    </row>
    <row r="110" spans="1:1" x14ac:dyDescent="0.3">
      <c r="A110" s="67">
        <v>40299</v>
      </c>
    </row>
    <row r="111" spans="1:1" x14ac:dyDescent="0.3">
      <c r="A111" s="67">
        <v>40332</v>
      </c>
    </row>
    <row r="112" spans="1:1" x14ac:dyDescent="0.3">
      <c r="A112" s="67">
        <v>40428</v>
      </c>
    </row>
    <row r="113" spans="1:1" x14ac:dyDescent="0.3">
      <c r="A113" s="67">
        <v>40463</v>
      </c>
    </row>
    <row r="114" spans="1:1" x14ac:dyDescent="0.3">
      <c r="A114" s="67">
        <v>40484</v>
      </c>
    </row>
    <row r="115" spans="1:1" x14ac:dyDescent="0.3">
      <c r="A115" s="67">
        <v>40497</v>
      </c>
    </row>
    <row r="116" spans="1:1" x14ac:dyDescent="0.3">
      <c r="A116" s="69">
        <v>40537</v>
      </c>
    </row>
    <row r="117" spans="1:1" x14ac:dyDescent="0.3">
      <c r="A117" s="70"/>
    </row>
    <row r="118" spans="1:1" x14ac:dyDescent="0.3">
      <c r="A118" s="71">
        <v>40544</v>
      </c>
    </row>
    <row r="119" spans="1:1" x14ac:dyDescent="0.3">
      <c r="A119" s="67">
        <v>40609</v>
      </c>
    </row>
    <row r="120" spans="1:1" x14ac:dyDescent="0.3">
      <c r="A120" s="67">
        <v>40610</v>
      </c>
    </row>
    <row r="121" spans="1:1" x14ac:dyDescent="0.3">
      <c r="A121" s="67">
        <v>40654</v>
      </c>
    </row>
    <row r="122" spans="1:1" x14ac:dyDescent="0.3">
      <c r="A122" s="67">
        <v>40655</v>
      </c>
    </row>
    <row r="123" spans="1:1" x14ac:dyDescent="0.3">
      <c r="A123" s="67">
        <v>40664</v>
      </c>
    </row>
    <row r="124" spans="1:1" x14ac:dyDescent="0.3">
      <c r="A124" s="67">
        <v>40717</v>
      </c>
    </row>
    <row r="125" spans="1:1" x14ac:dyDescent="0.3">
      <c r="A125" s="67">
        <v>40793</v>
      </c>
    </row>
    <row r="126" spans="1:1" x14ac:dyDescent="0.3">
      <c r="A126" s="67">
        <v>40828</v>
      </c>
    </row>
    <row r="127" spans="1:1" x14ac:dyDescent="0.3">
      <c r="A127" s="67">
        <v>40849</v>
      </c>
    </row>
    <row r="128" spans="1:1" x14ac:dyDescent="0.3">
      <c r="A128" s="67">
        <v>40862</v>
      </c>
    </row>
    <row r="129" spans="1:1" x14ac:dyDescent="0.3">
      <c r="A129" s="69">
        <v>40902</v>
      </c>
    </row>
    <row r="130" spans="1:1" x14ac:dyDescent="0.3">
      <c r="A130" s="70"/>
    </row>
    <row r="131" spans="1:1" x14ac:dyDescent="0.3">
      <c r="A131" s="71">
        <v>40909</v>
      </c>
    </row>
    <row r="132" spans="1:1" x14ac:dyDescent="0.3">
      <c r="A132" s="67">
        <v>40959</v>
      </c>
    </row>
    <row r="133" spans="1:1" x14ac:dyDescent="0.3">
      <c r="A133" s="67">
        <v>40960</v>
      </c>
    </row>
    <row r="134" spans="1:1" x14ac:dyDescent="0.3">
      <c r="A134" s="67">
        <v>41005</v>
      </c>
    </row>
    <row r="135" spans="1:1" x14ac:dyDescent="0.3">
      <c r="A135" s="67">
        <v>41020</v>
      </c>
    </row>
    <row r="136" spans="1:1" x14ac:dyDescent="0.3">
      <c r="A136" s="67">
        <v>41030</v>
      </c>
    </row>
    <row r="137" spans="1:1" x14ac:dyDescent="0.3">
      <c r="A137" s="67">
        <v>41067</v>
      </c>
    </row>
    <row r="138" spans="1:1" x14ac:dyDescent="0.3">
      <c r="A138" s="67">
        <v>41159</v>
      </c>
    </row>
    <row r="139" spans="1:1" x14ac:dyDescent="0.3">
      <c r="A139" s="67">
        <v>41194</v>
      </c>
    </row>
    <row r="140" spans="1:1" x14ac:dyDescent="0.3">
      <c r="A140" s="67">
        <v>41215</v>
      </c>
    </row>
    <row r="141" spans="1:1" x14ac:dyDescent="0.3">
      <c r="A141" s="67">
        <v>41228</v>
      </c>
    </row>
    <row r="142" spans="1:1" x14ac:dyDescent="0.3">
      <c r="A142" s="67">
        <v>41268</v>
      </c>
    </row>
    <row r="143" spans="1:1" x14ac:dyDescent="0.3">
      <c r="A143" s="67">
        <v>41275</v>
      </c>
    </row>
    <row r="144" spans="1:1" x14ac:dyDescent="0.3">
      <c r="A144" s="67">
        <v>41316</v>
      </c>
    </row>
    <row r="145" spans="1:1" x14ac:dyDescent="0.3">
      <c r="A145" s="67">
        <v>41317</v>
      </c>
    </row>
    <row r="146" spans="1:1" x14ac:dyDescent="0.3">
      <c r="A146" s="67">
        <v>41362</v>
      </c>
    </row>
    <row r="147" spans="1:1" x14ac:dyDescent="0.3">
      <c r="A147" s="67">
        <v>41395</v>
      </c>
    </row>
    <row r="148" spans="1:1" x14ac:dyDescent="0.3">
      <c r="A148" s="67">
        <v>41424</v>
      </c>
    </row>
    <row r="149" spans="1:1" x14ac:dyDescent="0.3">
      <c r="A149" s="67">
        <v>41593</v>
      </c>
    </row>
    <row r="150" spans="1:1" x14ac:dyDescent="0.3">
      <c r="A150" s="67">
        <v>41633</v>
      </c>
    </row>
    <row r="151" spans="1:1" x14ac:dyDescent="0.3">
      <c r="A151" s="67">
        <v>41640</v>
      </c>
    </row>
    <row r="152" spans="1:1" x14ac:dyDescent="0.3">
      <c r="A152" s="67">
        <v>41701</v>
      </c>
    </row>
    <row r="153" spans="1:1" x14ac:dyDescent="0.3">
      <c r="A153" s="67">
        <v>41702</v>
      </c>
    </row>
    <row r="154" spans="1:1" x14ac:dyDescent="0.3">
      <c r="A154" s="67">
        <v>41747</v>
      </c>
    </row>
    <row r="155" spans="1:1" x14ac:dyDescent="0.3">
      <c r="A155" s="67">
        <v>41750</v>
      </c>
    </row>
    <row r="156" spans="1:1" x14ac:dyDescent="0.3">
      <c r="A156" s="67">
        <v>41760</v>
      </c>
    </row>
    <row r="157" spans="1:1" x14ac:dyDescent="0.3">
      <c r="A157" s="67">
        <v>41809</v>
      </c>
    </row>
    <row r="158" spans="1:1" x14ac:dyDescent="0.3">
      <c r="A158" s="67">
        <v>41998</v>
      </c>
    </row>
    <row r="159" spans="1:1" x14ac:dyDescent="0.3">
      <c r="A159" s="67">
        <v>42005</v>
      </c>
    </row>
    <row r="160" spans="1:1" x14ac:dyDescent="0.3">
      <c r="A160" s="67">
        <v>42051</v>
      </c>
    </row>
    <row r="161" spans="1:1" x14ac:dyDescent="0.3">
      <c r="A161" s="67">
        <v>42052</v>
      </c>
    </row>
    <row r="162" spans="1:1" x14ac:dyDescent="0.3">
      <c r="A162" s="67">
        <v>42097</v>
      </c>
    </row>
    <row r="163" spans="1:1" x14ac:dyDescent="0.3">
      <c r="A163" s="67">
        <v>42115</v>
      </c>
    </row>
    <row r="164" spans="1:1" x14ac:dyDescent="0.3">
      <c r="A164" s="67">
        <v>42125</v>
      </c>
    </row>
    <row r="165" spans="1:1" x14ac:dyDescent="0.3">
      <c r="A165" s="67">
        <v>42159</v>
      </c>
    </row>
    <row r="166" spans="1:1" x14ac:dyDescent="0.3">
      <c r="A166" s="67">
        <v>42254</v>
      </c>
    </row>
    <row r="167" spans="1:1" x14ac:dyDescent="0.3">
      <c r="A167" s="67">
        <v>42289</v>
      </c>
    </row>
    <row r="168" spans="1:1" x14ac:dyDescent="0.3">
      <c r="A168" s="67">
        <v>42310</v>
      </c>
    </row>
    <row r="169" spans="1:1" x14ac:dyDescent="0.3">
      <c r="A169" s="67">
        <v>42363</v>
      </c>
    </row>
    <row r="170" spans="1:1" x14ac:dyDescent="0.3">
      <c r="A170" s="67">
        <v>42370</v>
      </c>
    </row>
    <row r="171" spans="1:1" x14ac:dyDescent="0.3">
      <c r="A171" s="67">
        <v>42408</v>
      </c>
    </row>
    <row r="172" spans="1:1" x14ac:dyDescent="0.3">
      <c r="A172" s="67">
        <v>42409</v>
      </c>
    </row>
    <row r="173" spans="1:1" x14ac:dyDescent="0.3">
      <c r="A173" s="67">
        <v>42454</v>
      </c>
    </row>
    <row r="174" spans="1:1" x14ac:dyDescent="0.3">
      <c r="A174" s="67">
        <v>42481</v>
      </c>
    </row>
    <row r="175" spans="1:1" x14ac:dyDescent="0.3">
      <c r="A175" s="67">
        <v>42516</v>
      </c>
    </row>
    <row r="176" spans="1:1" x14ac:dyDescent="0.3">
      <c r="A176" s="67">
        <v>42620</v>
      </c>
    </row>
    <row r="177" spans="1:1" x14ac:dyDescent="0.3">
      <c r="A177" s="67">
        <v>42655</v>
      </c>
    </row>
    <row r="178" spans="1:1" x14ac:dyDescent="0.3">
      <c r="A178" s="67">
        <v>42676</v>
      </c>
    </row>
    <row r="179" spans="1:1" x14ac:dyDescent="0.3">
      <c r="A179" s="67">
        <v>42689</v>
      </c>
    </row>
    <row r="180" spans="1:1" x14ac:dyDescent="0.3">
      <c r="A180" s="67">
        <v>42793</v>
      </c>
    </row>
    <row r="181" spans="1:1" x14ac:dyDescent="0.3">
      <c r="A181" s="67">
        <v>42794</v>
      </c>
    </row>
    <row r="182" spans="1:1" x14ac:dyDescent="0.3">
      <c r="A182" s="67">
        <v>42839</v>
      </c>
    </row>
    <row r="183" spans="1:1" x14ac:dyDescent="0.3">
      <c r="A183" s="67">
        <v>42846</v>
      </c>
    </row>
    <row r="184" spans="1:1" x14ac:dyDescent="0.3">
      <c r="A184" s="67">
        <v>42856</v>
      </c>
    </row>
    <row r="185" spans="1:1" x14ac:dyDescent="0.3">
      <c r="A185" s="67">
        <v>42901</v>
      </c>
    </row>
    <row r="186" spans="1:1" x14ac:dyDescent="0.3">
      <c r="A186" s="67">
        <v>42985</v>
      </c>
    </row>
    <row r="187" spans="1:1" x14ac:dyDescent="0.3">
      <c r="A187" s="67">
        <v>43020</v>
      </c>
    </row>
    <row r="188" spans="1:1" x14ac:dyDescent="0.3">
      <c r="A188" s="67">
        <v>43041</v>
      </c>
    </row>
    <row r="189" spans="1:1" x14ac:dyDescent="0.3">
      <c r="A189" s="67">
        <v>43054</v>
      </c>
    </row>
    <row r="190" spans="1:1" x14ac:dyDescent="0.3">
      <c r="A190" s="67">
        <v>43094</v>
      </c>
    </row>
    <row r="191" spans="1:1" x14ac:dyDescent="0.3">
      <c r="A191" s="67">
        <v>43101</v>
      </c>
    </row>
    <row r="192" spans="1:1" x14ac:dyDescent="0.3">
      <c r="A192" s="67">
        <v>43143</v>
      </c>
    </row>
    <row r="193" spans="1:1" x14ac:dyDescent="0.3">
      <c r="A193" s="67">
        <v>43144</v>
      </c>
    </row>
    <row r="194" spans="1:1" x14ac:dyDescent="0.3">
      <c r="A194" s="67">
        <v>43189</v>
      </c>
    </row>
    <row r="195" spans="1:1" x14ac:dyDescent="0.3">
      <c r="A195" s="67">
        <v>43221</v>
      </c>
    </row>
    <row r="196" spans="1:1" x14ac:dyDescent="0.3">
      <c r="A196" s="67">
        <v>43251</v>
      </c>
    </row>
    <row r="197" spans="1:1" x14ac:dyDescent="0.3">
      <c r="A197" s="67">
        <v>43350</v>
      </c>
    </row>
    <row r="198" spans="1:1" x14ac:dyDescent="0.3">
      <c r="A198" s="67">
        <v>43385</v>
      </c>
    </row>
    <row r="199" spans="1:1" x14ac:dyDescent="0.3">
      <c r="A199" s="67">
        <v>43406</v>
      </c>
    </row>
    <row r="200" spans="1:1" x14ac:dyDescent="0.3">
      <c r="A200" s="67">
        <v>43419</v>
      </c>
    </row>
    <row r="201" spans="1:1" x14ac:dyDescent="0.3">
      <c r="A201" s="67">
        <v>43459</v>
      </c>
    </row>
    <row r="202" spans="1:1" x14ac:dyDescent="0.3">
      <c r="A202" s="67">
        <v>43466</v>
      </c>
    </row>
    <row r="203" spans="1:1" x14ac:dyDescent="0.3">
      <c r="A203" s="67">
        <v>43528</v>
      </c>
    </row>
    <row r="204" spans="1:1" x14ac:dyDescent="0.3">
      <c r="A204" s="67">
        <v>43529</v>
      </c>
    </row>
    <row r="205" spans="1:1" x14ac:dyDescent="0.3">
      <c r="A205" s="67">
        <v>43574</v>
      </c>
    </row>
    <row r="206" spans="1:1" x14ac:dyDescent="0.3">
      <c r="A206" s="67">
        <v>43586</v>
      </c>
    </row>
    <row r="207" spans="1:1" x14ac:dyDescent="0.3">
      <c r="A207" s="67">
        <v>43636</v>
      </c>
    </row>
    <row r="208" spans="1:1" x14ac:dyDescent="0.3">
      <c r="A208" s="67">
        <v>43784</v>
      </c>
    </row>
    <row r="209" spans="1:1" x14ac:dyDescent="0.3">
      <c r="A209" s="67">
        <v>43824</v>
      </c>
    </row>
    <row r="210" spans="1:1" x14ac:dyDescent="0.3">
      <c r="A210" s="67">
        <v>43831</v>
      </c>
    </row>
    <row r="211" spans="1:1" x14ac:dyDescent="0.3">
      <c r="A211" s="67">
        <v>43885</v>
      </c>
    </row>
    <row r="212" spans="1:1" x14ac:dyDescent="0.3">
      <c r="A212" s="67">
        <v>43886</v>
      </c>
    </row>
    <row r="213" spans="1:1" x14ac:dyDescent="0.3">
      <c r="A213" s="67">
        <v>43931</v>
      </c>
    </row>
    <row r="214" spans="1:1" x14ac:dyDescent="0.3">
      <c r="A214" s="67">
        <v>43942</v>
      </c>
    </row>
    <row r="215" spans="1:1" x14ac:dyDescent="0.3">
      <c r="A215" s="67">
        <v>43952</v>
      </c>
    </row>
    <row r="216" spans="1:1" x14ac:dyDescent="0.3">
      <c r="A216" s="67">
        <v>43993</v>
      </c>
    </row>
    <row r="217" spans="1:1" x14ac:dyDescent="0.3">
      <c r="A217" s="67">
        <v>44081</v>
      </c>
    </row>
    <row r="218" spans="1:1" x14ac:dyDescent="0.3">
      <c r="A218" s="67">
        <v>44116</v>
      </c>
    </row>
    <row r="219" spans="1:1" x14ac:dyDescent="0.3">
      <c r="A219" s="67">
        <v>44137</v>
      </c>
    </row>
    <row r="220" spans="1:1" x14ac:dyDescent="0.3">
      <c r="A220" s="67">
        <v>44190</v>
      </c>
    </row>
    <row r="221" spans="1:1" x14ac:dyDescent="0.3">
      <c r="A221" s="67">
        <v>44197</v>
      </c>
    </row>
    <row r="222" spans="1:1" x14ac:dyDescent="0.3">
      <c r="A222" s="67">
        <v>44242</v>
      </c>
    </row>
    <row r="223" spans="1:1" x14ac:dyDescent="0.3">
      <c r="A223" s="67">
        <v>44243</v>
      </c>
    </row>
    <row r="224" spans="1:1" x14ac:dyDescent="0.3">
      <c r="A224" s="67">
        <v>44288</v>
      </c>
    </row>
    <row r="225" spans="1:1" x14ac:dyDescent="0.3">
      <c r="A225" s="67">
        <v>44307</v>
      </c>
    </row>
    <row r="226" spans="1:1" x14ac:dyDescent="0.3">
      <c r="A226" s="67">
        <v>44350</v>
      </c>
    </row>
    <row r="227" spans="1:1" x14ac:dyDescent="0.3">
      <c r="A227" s="67">
        <v>44446</v>
      </c>
    </row>
    <row r="228" spans="1:1" x14ac:dyDescent="0.3">
      <c r="A228" s="67">
        <v>44481</v>
      </c>
    </row>
    <row r="229" spans="1:1" x14ac:dyDescent="0.3">
      <c r="A229" s="67">
        <v>44502</v>
      </c>
    </row>
    <row r="230" spans="1:1" x14ac:dyDescent="0.3">
      <c r="A230" s="67">
        <v>44515</v>
      </c>
    </row>
    <row r="231" spans="1:1" x14ac:dyDescent="0.3">
      <c r="A231" s="67">
        <v>44620</v>
      </c>
    </row>
    <row r="232" spans="1:1" x14ac:dyDescent="0.3">
      <c r="A232" s="67">
        <v>44621</v>
      </c>
    </row>
    <row r="233" spans="1:1" x14ac:dyDescent="0.3">
      <c r="A233" s="67">
        <v>44666</v>
      </c>
    </row>
    <row r="234" spans="1:1" x14ac:dyDescent="0.3">
      <c r="A234" s="67">
        <v>44672</v>
      </c>
    </row>
    <row r="235" spans="1:1" x14ac:dyDescent="0.3">
      <c r="A235" s="67">
        <v>44728</v>
      </c>
    </row>
    <row r="236" spans="1:1" x14ac:dyDescent="0.3">
      <c r="A236" s="67">
        <v>44811</v>
      </c>
    </row>
    <row r="237" spans="1:1" x14ac:dyDescent="0.3">
      <c r="A237" s="67">
        <v>44846</v>
      </c>
    </row>
    <row r="238" spans="1:1" x14ac:dyDescent="0.3">
      <c r="A238" s="67">
        <v>44867</v>
      </c>
    </row>
    <row r="239" spans="1:1" x14ac:dyDescent="0.3">
      <c r="A239" s="67">
        <v>44880</v>
      </c>
    </row>
    <row r="240" spans="1:1" x14ac:dyDescent="0.3">
      <c r="A240" s="67">
        <v>44977</v>
      </c>
    </row>
    <row r="241" spans="1:1" x14ac:dyDescent="0.3">
      <c r="A241" s="67">
        <v>44978</v>
      </c>
    </row>
    <row r="242" spans="1:1" x14ac:dyDescent="0.3">
      <c r="A242" s="67">
        <v>45023</v>
      </c>
    </row>
    <row r="243" spans="1:1" x14ac:dyDescent="0.3">
      <c r="A243" s="67">
        <v>45037</v>
      </c>
    </row>
    <row r="244" spans="1:1" x14ac:dyDescent="0.3">
      <c r="A244" s="67">
        <v>45047</v>
      </c>
    </row>
    <row r="245" spans="1:1" x14ac:dyDescent="0.3">
      <c r="A245" s="67">
        <v>45085</v>
      </c>
    </row>
    <row r="246" spans="1:1" x14ac:dyDescent="0.3">
      <c r="A246" s="67">
        <v>45176</v>
      </c>
    </row>
    <row r="247" spans="1:1" x14ac:dyDescent="0.3">
      <c r="A247" s="67">
        <v>45211</v>
      </c>
    </row>
    <row r="248" spans="1:1" x14ac:dyDescent="0.3">
      <c r="A248" s="67">
        <v>45232</v>
      </c>
    </row>
    <row r="249" spans="1:1" x14ac:dyDescent="0.3">
      <c r="A249" s="67">
        <v>45245</v>
      </c>
    </row>
    <row r="250" spans="1:1" x14ac:dyDescent="0.3">
      <c r="A250" s="67">
        <v>45285</v>
      </c>
    </row>
    <row r="251" spans="1:1" x14ac:dyDescent="0.3">
      <c r="A251" s="67">
        <v>45292</v>
      </c>
    </row>
    <row r="252" spans="1:1" x14ac:dyDescent="0.3">
      <c r="A252" s="67">
        <v>45334</v>
      </c>
    </row>
    <row r="253" spans="1:1" x14ac:dyDescent="0.3">
      <c r="A253" s="67">
        <v>45335</v>
      </c>
    </row>
    <row r="254" spans="1:1" x14ac:dyDescent="0.3">
      <c r="A254" s="67">
        <v>45380</v>
      </c>
    </row>
    <row r="255" spans="1:1" x14ac:dyDescent="0.3">
      <c r="A255" s="67">
        <v>45413</v>
      </c>
    </row>
    <row r="256" spans="1:1" x14ac:dyDescent="0.3">
      <c r="A256" s="67">
        <v>45442</v>
      </c>
    </row>
    <row r="257" spans="1:1" x14ac:dyDescent="0.3">
      <c r="A257" s="67">
        <v>45611</v>
      </c>
    </row>
    <row r="258" spans="1:1" x14ac:dyDescent="0.3">
      <c r="A258" s="67">
        <v>45651</v>
      </c>
    </row>
    <row r="259" spans="1:1" x14ac:dyDescent="0.3">
      <c r="A259" s="67">
        <v>45658</v>
      </c>
    </row>
    <row r="260" spans="1:1" x14ac:dyDescent="0.3">
      <c r="A260" s="67">
        <v>45719</v>
      </c>
    </row>
    <row r="261" spans="1:1" x14ac:dyDescent="0.3">
      <c r="A261" s="67">
        <v>45720</v>
      </c>
    </row>
    <row r="262" spans="1:1" x14ac:dyDescent="0.3">
      <c r="A262" s="67">
        <v>45765</v>
      </c>
    </row>
    <row r="263" spans="1:1" x14ac:dyDescent="0.3">
      <c r="A263" s="67">
        <v>45768</v>
      </c>
    </row>
    <row r="264" spans="1:1" x14ac:dyDescent="0.3">
      <c r="A264" s="67">
        <v>45778</v>
      </c>
    </row>
    <row r="265" spans="1:1" x14ac:dyDescent="0.3">
      <c r="A265" s="67">
        <v>45827</v>
      </c>
    </row>
    <row r="266" spans="1:1" x14ac:dyDescent="0.3">
      <c r="A266" s="67">
        <v>46016</v>
      </c>
    </row>
    <row r="267" spans="1:1" x14ac:dyDescent="0.3">
      <c r="A267" s="67">
        <v>46023</v>
      </c>
    </row>
    <row r="268" spans="1:1" x14ac:dyDescent="0.3">
      <c r="A268" s="67">
        <v>46069</v>
      </c>
    </row>
    <row r="269" spans="1:1" x14ac:dyDescent="0.3">
      <c r="A269" s="67">
        <v>46070</v>
      </c>
    </row>
    <row r="270" spans="1:1" x14ac:dyDescent="0.3">
      <c r="A270" s="67">
        <v>46115</v>
      </c>
    </row>
    <row r="271" spans="1:1" x14ac:dyDescent="0.3">
      <c r="A271" s="67">
        <v>46133</v>
      </c>
    </row>
    <row r="272" spans="1:1" x14ac:dyDescent="0.3">
      <c r="A272" s="67">
        <v>46143</v>
      </c>
    </row>
    <row r="273" spans="1:1" x14ac:dyDescent="0.3">
      <c r="A273" s="67">
        <v>46177</v>
      </c>
    </row>
    <row r="274" spans="1:1" x14ac:dyDescent="0.3">
      <c r="A274" s="67">
        <v>46272</v>
      </c>
    </row>
    <row r="275" spans="1:1" x14ac:dyDescent="0.3">
      <c r="A275" s="67">
        <v>46307</v>
      </c>
    </row>
    <row r="276" spans="1:1" x14ac:dyDescent="0.3">
      <c r="A276" s="67">
        <v>46328</v>
      </c>
    </row>
    <row r="277" spans="1:1" x14ac:dyDescent="0.3">
      <c r="A277" s="67">
        <v>46381</v>
      </c>
    </row>
    <row r="278" spans="1:1" x14ac:dyDescent="0.3">
      <c r="A278" s="67">
        <v>46388</v>
      </c>
    </row>
    <row r="279" spans="1:1" x14ac:dyDescent="0.3">
      <c r="A279" s="67">
        <v>46426</v>
      </c>
    </row>
    <row r="280" spans="1:1" x14ac:dyDescent="0.3">
      <c r="A280" s="67">
        <v>46427</v>
      </c>
    </row>
    <row r="281" spans="1:1" x14ac:dyDescent="0.3">
      <c r="A281" s="67">
        <v>46472</v>
      </c>
    </row>
    <row r="282" spans="1:1" x14ac:dyDescent="0.3">
      <c r="A282" s="67">
        <v>46498</v>
      </c>
    </row>
    <row r="283" spans="1:1" x14ac:dyDescent="0.3">
      <c r="A283" s="67">
        <v>46534</v>
      </c>
    </row>
    <row r="284" spans="1:1" x14ac:dyDescent="0.3">
      <c r="A284" s="67">
        <v>46637</v>
      </c>
    </row>
    <row r="285" spans="1:1" x14ac:dyDescent="0.3">
      <c r="A285" s="67">
        <v>46672</v>
      </c>
    </row>
    <row r="286" spans="1:1" x14ac:dyDescent="0.3">
      <c r="A286" s="67">
        <v>46693</v>
      </c>
    </row>
    <row r="287" spans="1:1" x14ac:dyDescent="0.3">
      <c r="A287" s="67">
        <v>46706</v>
      </c>
    </row>
    <row r="288" spans="1:1" x14ac:dyDescent="0.3">
      <c r="A288" s="67">
        <v>46811</v>
      </c>
    </row>
    <row r="289" spans="1:1" x14ac:dyDescent="0.3">
      <c r="A289" s="67">
        <v>46812</v>
      </c>
    </row>
    <row r="290" spans="1:1" x14ac:dyDescent="0.3">
      <c r="A290" s="67">
        <v>46857</v>
      </c>
    </row>
    <row r="291" spans="1:1" x14ac:dyDescent="0.3">
      <c r="A291" s="67">
        <v>46864</v>
      </c>
    </row>
    <row r="292" spans="1:1" x14ac:dyDescent="0.3">
      <c r="A292" s="67">
        <v>46874</v>
      </c>
    </row>
    <row r="293" spans="1:1" x14ac:dyDescent="0.3">
      <c r="A293" s="67">
        <v>46919</v>
      </c>
    </row>
    <row r="294" spans="1:1" x14ac:dyDescent="0.3">
      <c r="A294" s="67">
        <v>47003</v>
      </c>
    </row>
    <row r="295" spans="1:1" x14ac:dyDescent="0.3">
      <c r="A295" s="67">
        <v>47038</v>
      </c>
    </row>
    <row r="296" spans="1:1" x14ac:dyDescent="0.3">
      <c r="A296" s="67">
        <v>47059</v>
      </c>
    </row>
    <row r="297" spans="1:1" x14ac:dyDescent="0.3">
      <c r="A297" s="67">
        <v>47072</v>
      </c>
    </row>
    <row r="298" spans="1:1" x14ac:dyDescent="0.3">
      <c r="A298" s="67">
        <v>47112</v>
      </c>
    </row>
    <row r="299" spans="1:1" x14ac:dyDescent="0.3">
      <c r="A299" s="67">
        <v>47119</v>
      </c>
    </row>
    <row r="300" spans="1:1" x14ac:dyDescent="0.3">
      <c r="A300" s="67">
        <v>47161</v>
      </c>
    </row>
    <row r="301" spans="1:1" x14ac:dyDescent="0.3">
      <c r="A301" s="67">
        <v>47162</v>
      </c>
    </row>
    <row r="302" spans="1:1" x14ac:dyDescent="0.3">
      <c r="A302" s="67">
        <v>47207</v>
      </c>
    </row>
    <row r="303" spans="1:1" x14ac:dyDescent="0.3">
      <c r="A303" s="67">
        <v>47239</v>
      </c>
    </row>
    <row r="304" spans="1:1" x14ac:dyDescent="0.3">
      <c r="A304" s="67">
        <v>47269</v>
      </c>
    </row>
    <row r="305" spans="1:1" x14ac:dyDescent="0.3">
      <c r="A305" s="67">
        <v>47368</v>
      </c>
    </row>
    <row r="306" spans="1:1" x14ac:dyDescent="0.3">
      <c r="A306" s="67">
        <v>47403</v>
      </c>
    </row>
    <row r="307" spans="1:1" x14ac:dyDescent="0.3">
      <c r="A307" s="67">
        <v>47424</v>
      </c>
    </row>
    <row r="308" spans="1:1" x14ac:dyDescent="0.3">
      <c r="A308" s="67">
        <v>47437</v>
      </c>
    </row>
    <row r="309" spans="1:1" x14ac:dyDescent="0.3">
      <c r="A309" s="67">
        <v>47477</v>
      </c>
    </row>
    <row r="310" spans="1:1" x14ac:dyDescent="0.3">
      <c r="A310" s="67">
        <v>10959</v>
      </c>
    </row>
    <row r="311" spans="1:1" x14ac:dyDescent="0.3">
      <c r="A311" s="67">
        <v>11021</v>
      </c>
    </row>
    <row r="312" spans="1:1" x14ac:dyDescent="0.3">
      <c r="A312" s="67">
        <v>11022</v>
      </c>
    </row>
    <row r="313" spans="1:1" x14ac:dyDescent="0.3">
      <c r="A313" s="67">
        <v>11067</v>
      </c>
    </row>
    <row r="314" spans="1:1" x14ac:dyDescent="0.3">
      <c r="A314" s="67">
        <v>11079</v>
      </c>
    </row>
    <row r="315" spans="1:1" x14ac:dyDescent="0.3">
      <c r="A315" s="67">
        <v>11129</v>
      </c>
    </row>
    <row r="316" spans="1:1" x14ac:dyDescent="0.3">
      <c r="A316" s="67">
        <v>11277</v>
      </c>
    </row>
    <row r="317" spans="1:1" x14ac:dyDescent="0.3">
      <c r="A317" s="67">
        <v>11317</v>
      </c>
    </row>
    <row r="318" spans="1:1" x14ac:dyDescent="0.3">
      <c r="A318" s="67">
        <v>11324</v>
      </c>
    </row>
    <row r="319" spans="1:1" x14ac:dyDescent="0.3">
      <c r="A319" s="67">
        <v>11378</v>
      </c>
    </row>
    <row r="320" spans="1:1" x14ac:dyDescent="0.3">
      <c r="A320" s="67">
        <v>11379</v>
      </c>
    </row>
    <row r="321" spans="1:1" x14ac:dyDescent="0.3">
      <c r="A321" s="67">
        <v>11424</v>
      </c>
    </row>
    <row r="322" spans="1:1" x14ac:dyDescent="0.3">
      <c r="A322" s="67">
        <v>11434</v>
      </c>
    </row>
    <row r="323" spans="1:1" x14ac:dyDescent="0.3">
      <c r="A323" s="67">
        <v>11444</v>
      </c>
    </row>
    <row r="324" spans="1:1" x14ac:dyDescent="0.3">
      <c r="A324" s="67">
        <v>11486</v>
      </c>
    </row>
    <row r="325" spans="1:1" x14ac:dyDescent="0.3">
      <c r="A325" s="67">
        <v>11682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Resumo</vt:lpstr>
      <vt:lpstr>Direitos Creditórios</vt:lpstr>
      <vt:lpstr>Resolução de Cessão</vt:lpstr>
      <vt:lpstr>Projeção de Despesas</vt:lpstr>
      <vt:lpstr>Pagamento Estimado</vt:lpstr>
      <vt:lpstr>Feriados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Ferreira</dc:creator>
  <cp:lastModifiedBy>Ricardo Ferreira</cp:lastModifiedBy>
  <dcterms:created xsi:type="dcterms:W3CDTF">2018-11-08T14:14:08Z</dcterms:created>
  <dcterms:modified xsi:type="dcterms:W3CDTF">2022-01-03T13:30:01Z</dcterms:modified>
</cp:coreProperties>
</file>